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wner\Desktop\"/>
    </mc:Choice>
  </mc:AlternateContent>
  <bookViews>
    <workbookView xWindow="0" yWindow="0" windowWidth="28800" windowHeight="11835" firstSheet="5" activeTab="5"/>
  </bookViews>
  <sheets>
    <sheet name="5-9-2018" sheetId="4" r:id="rId1"/>
    <sheet name="21-9-2018" sheetId="2" r:id="rId2"/>
    <sheet name="4-10-2018" sheetId="5" r:id="rId3"/>
    <sheet name="19-10-2018" sheetId="6" r:id="rId4"/>
    <sheet name="06-11-2018" sheetId="8" r:id="rId5"/>
    <sheet name="08-11-2018" sheetId="9" r:id="rId6"/>
    <sheet name="03-12-2018" sheetId="10" r:id="rId7"/>
    <sheet name="17-01-2019" sheetId="11" r:id="rId8"/>
    <sheet name="31-01-2019" sheetId="12" r:id="rId9"/>
    <sheet name="20-02-2019" sheetId="13" r:id="rId10"/>
    <sheet name="26-02-2019" sheetId="14" r:id="rId11"/>
    <sheet name="07-03-2019" sheetId="15" r:id="rId1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3" i="15" l="1"/>
  <c r="G22" i="15"/>
  <c r="G18" i="15"/>
  <c r="G5" i="15"/>
  <c r="G24" i="15"/>
  <c r="B21" i="15"/>
  <c r="B20" i="15"/>
  <c r="I18" i="15"/>
  <c r="H18" i="15"/>
  <c r="H19" i="15"/>
  <c r="I17" i="15"/>
  <c r="I19" i="15"/>
  <c r="G17" i="15"/>
  <c r="G19" i="15"/>
  <c r="C17" i="15"/>
  <c r="B17" i="15"/>
  <c r="D17" i="15"/>
  <c r="C16" i="15"/>
  <c r="B16" i="15"/>
  <c r="D16" i="15"/>
  <c r="C15" i="15"/>
  <c r="B15" i="15"/>
  <c r="D15" i="15"/>
  <c r="C14" i="15"/>
  <c r="B14" i="15"/>
  <c r="D14" i="15"/>
  <c r="C13" i="15"/>
  <c r="B13" i="15"/>
  <c r="D13" i="15"/>
  <c r="O12" i="15"/>
  <c r="J12" i="15"/>
  <c r="C12" i="15"/>
  <c r="B12" i="15"/>
  <c r="D12" i="15"/>
  <c r="N11" i="15"/>
  <c r="O11" i="15"/>
  <c r="G11" i="15"/>
  <c r="J11" i="15"/>
  <c r="C11" i="15"/>
  <c r="B11" i="15"/>
  <c r="D11" i="15"/>
  <c r="N10" i="15"/>
  <c r="O10" i="15"/>
  <c r="G10" i="15"/>
  <c r="J10" i="15"/>
  <c r="C10" i="15"/>
  <c r="B10" i="15"/>
  <c r="D10" i="15"/>
  <c r="N9" i="15"/>
  <c r="O9" i="15"/>
  <c r="G9" i="15"/>
  <c r="J9" i="15"/>
  <c r="C9" i="15"/>
  <c r="C18" i="15"/>
  <c r="B9" i="15"/>
  <c r="D9" i="15"/>
  <c r="N8" i="15"/>
  <c r="O8" i="15"/>
  <c r="G8" i="15"/>
  <c r="J8" i="15"/>
  <c r="B8" i="15"/>
  <c r="D8" i="15"/>
  <c r="B18" i="15"/>
  <c r="D18" i="15"/>
  <c r="N7" i="15"/>
  <c r="O7" i="15"/>
  <c r="G7" i="15"/>
  <c r="J7" i="15"/>
  <c r="N6" i="15"/>
  <c r="O6" i="15"/>
  <c r="G6" i="15"/>
  <c r="J6" i="15"/>
  <c r="N5" i="15"/>
  <c r="N13" i="15"/>
  <c r="M5" i="15"/>
  <c r="O5" i="15"/>
  <c r="I5" i="15"/>
  <c r="H5" i="15"/>
  <c r="J5" i="15"/>
  <c r="M4" i="15"/>
  <c r="M13" i="15"/>
  <c r="O13" i="15"/>
  <c r="I4" i="15"/>
  <c r="I13" i="15"/>
  <c r="H4" i="15"/>
  <c r="H13" i="15"/>
  <c r="G4" i="15"/>
  <c r="G13" i="15"/>
  <c r="B4" i="15"/>
  <c r="J13" i="15"/>
  <c r="J4" i="15"/>
  <c r="O4" i="15"/>
  <c r="J17" i="15"/>
  <c r="J18" i="15"/>
  <c r="B16" i="13"/>
  <c r="B8" i="13"/>
  <c r="B9" i="13"/>
  <c r="C9" i="13"/>
  <c r="B10" i="13"/>
  <c r="C10" i="13"/>
  <c r="C11" i="13"/>
  <c r="B12" i="13"/>
  <c r="C12" i="13"/>
  <c r="B13" i="13"/>
  <c r="B14" i="13"/>
  <c r="C14" i="13"/>
  <c r="C15" i="13"/>
  <c r="B15" i="13"/>
  <c r="C16" i="13"/>
  <c r="B17" i="13"/>
  <c r="M5" i="13"/>
  <c r="N5" i="13"/>
  <c r="M4" i="13"/>
  <c r="N6" i="13"/>
  <c r="N8" i="13"/>
  <c r="N9" i="13"/>
  <c r="N10" i="13"/>
  <c r="B4" i="13"/>
  <c r="B20" i="13"/>
  <c r="B21" i="13"/>
  <c r="G17" i="13"/>
  <c r="G18" i="13"/>
  <c r="G4" i="13"/>
  <c r="G8" i="13"/>
  <c r="G9" i="13"/>
  <c r="G7" i="13"/>
  <c r="G5" i="13"/>
  <c r="G23" i="14"/>
  <c r="G22" i="14"/>
  <c r="G24" i="14"/>
  <c r="B21" i="14"/>
  <c r="B20" i="14"/>
  <c r="I18" i="14"/>
  <c r="I17" i="14"/>
  <c r="I19" i="14"/>
  <c r="H18" i="14"/>
  <c r="H19" i="14"/>
  <c r="G18" i="14"/>
  <c r="J18" i="14"/>
  <c r="G17" i="14"/>
  <c r="G19" i="14"/>
  <c r="C17" i="14"/>
  <c r="B17" i="14"/>
  <c r="D17" i="14"/>
  <c r="C16" i="14"/>
  <c r="B16" i="14"/>
  <c r="D16" i="14"/>
  <c r="C15" i="14"/>
  <c r="B15" i="14"/>
  <c r="D15" i="14"/>
  <c r="C14" i="14"/>
  <c r="B14" i="14"/>
  <c r="D14" i="14"/>
  <c r="C13" i="14"/>
  <c r="B13" i="14"/>
  <c r="D13" i="14"/>
  <c r="O12" i="14"/>
  <c r="J12" i="14"/>
  <c r="C12" i="14"/>
  <c r="B12" i="14"/>
  <c r="D12" i="14"/>
  <c r="N11" i="14"/>
  <c r="O11" i="14"/>
  <c r="G11" i="14"/>
  <c r="J11" i="14"/>
  <c r="C11" i="14"/>
  <c r="B11" i="14"/>
  <c r="D11" i="14"/>
  <c r="N10" i="14"/>
  <c r="O10" i="14"/>
  <c r="G10" i="14"/>
  <c r="J10" i="14"/>
  <c r="C10" i="14"/>
  <c r="C9" i="14"/>
  <c r="C18" i="14"/>
  <c r="B10" i="14"/>
  <c r="D10" i="14"/>
  <c r="N9" i="14"/>
  <c r="O9" i="14"/>
  <c r="G9" i="14"/>
  <c r="J9" i="14"/>
  <c r="B9" i="14"/>
  <c r="D9" i="14"/>
  <c r="N8" i="14"/>
  <c r="O8" i="14"/>
  <c r="G8" i="14"/>
  <c r="J8" i="14"/>
  <c r="B8" i="14"/>
  <c r="B18" i="14"/>
  <c r="D18" i="14"/>
  <c r="N7" i="14"/>
  <c r="O7" i="14"/>
  <c r="G7" i="14"/>
  <c r="J7" i="14"/>
  <c r="N6" i="14"/>
  <c r="O6" i="14"/>
  <c r="G6" i="14"/>
  <c r="J6" i="14"/>
  <c r="N5" i="14"/>
  <c r="N13" i="14"/>
  <c r="M5" i="14"/>
  <c r="O5" i="14"/>
  <c r="I5" i="14"/>
  <c r="H5" i="14"/>
  <c r="G5" i="14"/>
  <c r="J5" i="14"/>
  <c r="M4" i="14"/>
  <c r="O4" i="14"/>
  <c r="M13" i="14"/>
  <c r="O13" i="14"/>
  <c r="I4" i="14"/>
  <c r="I13" i="14"/>
  <c r="H4" i="14"/>
  <c r="H13" i="14"/>
  <c r="G4" i="14"/>
  <c r="G13" i="14"/>
  <c r="B4" i="14"/>
  <c r="J7" i="13"/>
  <c r="B11" i="13"/>
  <c r="B18" i="13"/>
  <c r="G22" i="13"/>
  <c r="G23" i="13"/>
  <c r="G24" i="13"/>
  <c r="I18" i="13"/>
  <c r="H18" i="13"/>
  <c r="H19" i="13"/>
  <c r="I17" i="13"/>
  <c r="I19" i="13"/>
  <c r="G19" i="13"/>
  <c r="C17" i="13"/>
  <c r="D17" i="13"/>
  <c r="D16" i="13"/>
  <c r="D15" i="13"/>
  <c r="D14" i="13"/>
  <c r="C13" i="13"/>
  <c r="D13" i="13"/>
  <c r="O12" i="13"/>
  <c r="J12" i="13"/>
  <c r="D12" i="13"/>
  <c r="N11" i="13"/>
  <c r="O11" i="13"/>
  <c r="G11" i="13"/>
  <c r="J11" i="13"/>
  <c r="O10" i="13"/>
  <c r="G10" i="13"/>
  <c r="J10" i="13"/>
  <c r="D10" i="13"/>
  <c r="O9" i="13"/>
  <c r="J9" i="13"/>
  <c r="C18" i="13"/>
  <c r="D9" i="13"/>
  <c r="O8" i="13"/>
  <c r="J8" i="13"/>
  <c r="D8" i="13"/>
  <c r="N7" i="13"/>
  <c r="O7" i="13"/>
  <c r="O6" i="13"/>
  <c r="G6" i="13"/>
  <c r="J6" i="13"/>
  <c r="N13" i="13"/>
  <c r="O5" i="13"/>
  <c r="I5" i="13"/>
  <c r="H5" i="13"/>
  <c r="J5" i="13"/>
  <c r="M13" i="13"/>
  <c r="I4" i="13"/>
  <c r="I13" i="13"/>
  <c r="H4" i="13"/>
  <c r="H13" i="13"/>
  <c r="J19" i="15"/>
  <c r="B23" i="15"/>
  <c r="D11" i="13"/>
  <c r="O13" i="13"/>
  <c r="J13" i="14"/>
  <c r="J17" i="14"/>
  <c r="J19" i="14"/>
  <c r="B23" i="14"/>
  <c r="J4" i="14"/>
  <c r="D8" i="14"/>
  <c r="G13" i="13"/>
  <c r="D18" i="13"/>
  <c r="J13" i="13"/>
  <c r="J4" i="13"/>
  <c r="O4" i="13"/>
  <c r="J17" i="13"/>
  <c r="J18" i="13"/>
  <c r="N11" i="12"/>
  <c r="N10" i="12"/>
  <c r="N9" i="12"/>
  <c r="N8" i="12"/>
  <c r="N6" i="12"/>
  <c r="M4" i="12"/>
  <c r="N5" i="12"/>
  <c r="M5" i="12"/>
  <c r="B8" i="12"/>
  <c r="B20" i="12"/>
  <c r="B4" i="12"/>
  <c r="B16" i="12"/>
  <c r="C15" i="12"/>
  <c r="B15" i="12"/>
  <c r="C14" i="12"/>
  <c r="B14" i="12"/>
  <c r="C13" i="12"/>
  <c r="B13" i="12"/>
  <c r="C11" i="12"/>
  <c r="B10" i="12"/>
  <c r="C9" i="12"/>
  <c r="D8" i="12"/>
  <c r="G11" i="12"/>
  <c r="G9" i="12"/>
  <c r="G5" i="12"/>
  <c r="G10" i="12"/>
  <c r="G8" i="12"/>
  <c r="G6" i="12"/>
  <c r="G4" i="12"/>
  <c r="G18" i="12"/>
  <c r="G17" i="12"/>
  <c r="G22" i="12"/>
  <c r="G23" i="12"/>
  <c r="G24" i="12"/>
  <c r="B21" i="12"/>
  <c r="I18" i="12"/>
  <c r="H18" i="12"/>
  <c r="H19" i="12"/>
  <c r="I17" i="12"/>
  <c r="I19" i="12"/>
  <c r="G19" i="12"/>
  <c r="C17" i="12"/>
  <c r="B17" i="12"/>
  <c r="D17" i="12"/>
  <c r="C16" i="12"/>
  <c r="D16" i="12"/>
  <c r="D15" i="12"/>
  <c r="D14" i="12"/>
  <c r="D13" i="12"/>
  <c r="O12" i="12"/>
  <c r="J12" i="12"/>
  <c r="C12" i="12"/>
  <c r="B12" i="12"/>
  <c r="D12" i="12"/>
  <c r="O11" i="12"/>
  <c r="J11" i="12"/>
  <c r="B11" i="12"/>
  <c r="D11" i="12"/>
  <c r="O10" i="12"/>
  <c r="J10" i="12"/>
  <c r="C10" i="12"/>
  <c r="D10" i="12"/>
  <c r="O9" i="12"/>
  <c r="J9" i="12"/>
  <c r="C18" i="12"/>
  <c r="B9" i="12"/>
  <c r="D9" i="12"/>
  <c r="O8" i="12"/>
  <c r="J8" i="12"/>
  <c r="B18" i="12"/>
  <c r="N7" i="12"/>
  <c r="O7" i="12"/>
  <c r="G7" i="12"/>
  <c r="J7" i="12"/>
  <c r="O6" i="12"/>
  <c r="J6" i="12"/>
  <c r="N13" i="12"/>
  <c r="O5" i="12"/>
  <c r="I5" i="12"/>
  <c r="H5" i="12"/>
  <c r="J5" i="12"/>
  <c r="M13" i="12"/>
  <c r="I4" i="12"/>
  <c r="I13" i="12"/>
  <c r="H4" i="12"/>
  <c r="H13" i="12"/>
  <c r="G13" i="12"/>
  <c r="J19" i="13"/>
  <c r="B23" i="13"/>
  <c r="O13" i="12"/>
  <c r="D18" i="12"/>
  <c r="J13" i="12"/>
  <c r="J4" i="12"/>
  <c r="O4" i="12"/>
  <c r="J17" i="12"/>
  <c r="J18" i="12"/>
  <c r="G11" i="11"/>
  <c r="G10" i="11"/>
  <c r="G9" i="11"/>
  <c r="G7" i="11"/>
  <c r="G8" i="11"/>
  <c r="G6" i="11"/>
  <c r="G5" i="11"/>
  <c r="G4" i="11"/>
  <c r="B21" i="11"/>
  <c r="N11" i="11"/>
  <c r="N10" i="11"/>
  <c r="N9" i="11"/>
  <c r="N8" i="11"/>
  <c r="N7" i="11"/>
  <c r="N6" i="11"/>
  <c r="M4" i="11"/>
  <c r="N5" i="11"/>
  <c r="M5" i="11"/>
  <c r="B20" i="11"/>
  <c r="B4" i="11"/>
  <c r="C17" i="11"/>
  <c r="B17" i="11"/>
  <c r="C16" i="11"/>
  <c r="B16" i="11"/>
  <c r="C15" i="11"/>
  <c r="B15" i="11"/>
  <c r="C14" i="11"/>
  <c r="B14" i="11"/>
  <c r="C13" i="11"/>
  <c r="B13" i="11"/>
  <c r="C12" i="11"/>
  <c r="B12" i="11"/>
  <c r="D12" i="11"/>
  <c r="C11" i="11"/>
  <c r="C10" i="11"/>
  <c r="B10" i="11"/>
  <c r="C9" i="11"/>
  <c r="B8" i="11"/>
  <c r="G18" i="11"/>
  <c r="G17" i="11"/>
  <c r="G19" i="11"/>
  <c r="G23" i="11"/>
  <c r="G22" i="11"/>
  <c r="G24" i="11"/>
  <c r="I18" i="11"/>
  <c r="I17" i="11"/>
  <c r="I19" i="11"/>
  <c r="H18" i="11"/>
  <c r="H19" i="11"/>
  <c r="J18" i="11"/>
  <c r="D17" i="11"/>
  <c r="D16" i="11"/>
  <c r="D15" i="11"/>
  <c r="D14" i="11"/>
  <c r="D13" i="11"/>
  <c r="O12" i="11"/>
  <c r="J12" i="11"/>
  <c r="O11" i="11"/>
  <c r="J11" i="11"/>
  <c r="B11" i="11"/>
  <c r="D11" i="11"/>
  <c r="O10" i="11"/>
  <c r="J10" i="11"/>
  <c r="D10" i="11"/>
  <c r="O9" i="11"/>
  <c r="J9" i="11"/>
  <c r="B9" i="11"/>
  <c r="D9" i="11"/>
  <c r="O8" i="11"/>
  <c r="J8" i="11"/>
  <c r="D8" i="11"/>
  <c r="B18" i="11"/>
  <c r="O7" i="11"/>
  <c r="J7" i="11"/>
  <c r="O6" i="11"/>
  <c r="J6" i="11"/>
  <c r="N13" i="11"/>
  <c r="O5" i="11"/>
  <c r="I5" i="11"/>
  <c r="H5" i="11"/>
  <c r="J5" i="11"/>
  <c r="O4" i="11"/>
  <c r="M13" i="11"/>
  <c r="I4" i="11"/>
  <c r="I13" i="11"/>
  <c r="H4" i="11"/>
  <c r="H13" i="11"/>
  <c r="G13" i="11"/>
  <c r="B8" i="10"/>
  <c r="J19" i="12"/>
  <c r="B23" i="12"/>
  <c r="J13" i="11"/>
  <c r="O13" i="11"/>
  <c r="C18" i="11"/>
  <c r="D18" i="11"/>
  <c r="J4" i="11"/>
  <c r="J17" i="11"/>
  <c r="J19" i="11"/>
  <c r="C17" i="10"/>
  <c r="C16" i="10"/>
  <c r="B16" i="10"/>
  <c r="C15" i="10"/>
  <c r="B15" i="10"/>
  <c r="C14" i="10"/>
  <c r="B14" i="10"/>
  <c r="C13" i="10"/>
  <c r="B13" i="10"/>
  <c r="C12" i="10"/>
  <c r="B12" i="10"/>
  <c r="C11" i="10"/>
  <c r="B10" i="10"/>
  <c r="C10" i="10"/>
  <c r="C9" i="10"/>
  <c r="N11" i="10"/>
  <c r="N10" i="10"/>
  <c r="N9" i="10"/>
  <c r="N8" i="10"/>
  <c r="N6" i="10"/>
  <c r="M4" i="10"/>
  <c r="N5" i="10"/>
  <c r="M5" i="10"/>
  <c r="G5" i="10"/>
  <c r="G10" i="10"/>
  <c r="G4" i="10"/>
  <c r="B21" i="10"/>
  <c r="B20" i="10"/>
  <c r="G18" i="10"/>
  <c r="G17" i="10"/>
  <c r="G19" i="10"/>
  <c r="I17" i="10"/>
  <c r="B4" i="10"/>
  <c r="G23" i="10"/>
  <c r="G22" i="10"/>
  <c r="G24" i="10"/>
  <c r="I18" i="10"/>
  <c r="I19" i="10"/>
  <c r="H18" i="10"/>
  <c r="H19" i="10"/>
  <c r="J18" i="10"/>
  <c r="B17" i="10"/>
  <c r="D17" i="10"/>
  <c r="D16" i="10"/>
  <c r="D15" i="10"/>
  <c r="D14" i="10"/>
  <c r="D13" i="10"/>
  <c r="O12" i="10"/>
  <c r="J12" i="10"/>
  <c r="D12" i="10"/>
  <c r="O11" i="10"/>
  <c r="J11" i="10"/>
  <c r="B11" i="10"/>
  <c r="D11" i="10"/>
  <c r="O10" i="10"/>
  <c r="J10" i="10"/>
  <c r="C18" i="10"/>
  <c r="D10" i="10"/>
  <c r="O9" i="10"/>
  <c r="G9" i="10"/>
  <c r="J9" i="10"/>
  <c r="B9" i="10"/>
  <c r="D9" i="10"/>
  <c r="O8" i="10"/>
  <c r="G8" i="10"/>
  <c r="J8" i="10"/>
  <c r="B18" i="10"/>
  <c r="O7" i="10"/>
  <c r="G7" i="10"/>
  <c r="J7" i="10"/>
  <c r="O6" i="10"/>
  <c r="G6" i="10"/>
  <c r="J6" i="10"/>
  <c r="O5" i="10"/>
  <c r="I5" i="10"/>
  <c r="H5" i="10"/>
  <c r="O4" i="10"/>
  <c r="M13" i="10"/>
  <c r="I4" i="10"/>
  <c r="I13" i="10"/>
  <c r="H4" i="10"/>
  <c r="H13" i="10"/>
  <c r="G13" i="10"/>
  <c r="B23" i="11"/>
  <c r="D18" i="10"/>
  <c r="J5" i="10"/>
  <c r="J13" i="10"/>
  <c r="J4" i="10"/>
  <c r="N13" i="10"/>
  <c r="O13" i="10"/>
  <c r="J17" i="10"/>
  <c r="J19" i="10"/>
  <c r="D8" i="10"/>
  <c r="B14" i="9"/>
  <c r="B8" i="9"/>
  <c r="C17" i="9"/>
  <c r="B17" i="9"/>
  <c r="C16" i="9"/>
  <c r="B16" i="9"/>
  <c r="C15" i="9"/>
  <c r="C9" i="9"/>
  <c r="C10" i="9"/>
  <c r="C11" i="9"/>
  <c r="C12" i="9"/>
  <c r="C13" i="9"/>
  <c r="C14" i="9"/>
  <c r="C18" i="9"/>
  <c r="B15" i="9"/>
  <c r="B13" i="9"/>
  <c r="B12" i="9"/>
  <c r="B10" i="9"/>
  <c r="B4" i="9"/>
  <c r="B21" i="9"/>
  <c r="B20" i="9"/>
  <c r="G5" i="9"/>
  <c r="G18" i="9"/>
  <c r="G23" i="9"/>
  <c r="G22" i="9"/>
  <c r="G24" i="9"/>
  <c r="I18" i="9"/>
  <c r="H18" i="9"/>
  <c r="H19" i="9"/>
  <c r="I17" i="9"/>
  <c r="I19" i="9"/>
  <c r="G17" i="9"/>
  <c r="G19" i="9"/>
  <c r="D17" i="9"/>
  <c r="D15" i="9"/>
  <c r="D14" i="9"/>
  <c r="D13" i="9"/>
  <c r="O12" i="9"/>
  <c r="J12" i="9"/>
  <c r="O11" i="9"/>
  <c r="J11" i="9"/>
  <c r="B11" i="9"/>
  <c r="D11" i="9"/>
  <c r="N10" i="9"/>
  <c r="O10" i="9"/>
  <c r="G10" i="9"/>
  <c r="J10" i="9"/>
  <c r="D10" i="9"/>
  <c r="N9" i="9"/>
  <c r="O9" i="9"/>
  <c r="G9" i="9"/>
  <c r="J9" i="9"/>
  <c r="B9" i="9"/>
  <c r="D9" i="9"/>
  <c r="N8" i="9"/>
  <c r="O8" i="9"/>
  <c r="G8" i="9"/>
  <c r="J8" i="9"/>
  <c r="B18" i="9"/>
  <c r="O7" i="9"/>
  <c r="G7" i="9"/>
  <c r="J7" i="9"/>
  <c r="N6" i="9"/>
  <c r="O6" i="9"/>
  <c r="N13" i="9"/>
  <c r="G6" i="9"/>
  <c r="J6" i="9"/>
  <c r="M5" i="9"/>
  <c r="O5" i="9"/>
  <c r="I5" i="9"/>
  <c r="H5" i="9"/>
  <c r="J5" i="9"/>
  <c r="M4" i="9"/>
  <c r="O4" i="9"/>
  <c r="M13" i="9"/>
  <c r="I4" i="9"/>
  <c r="I13" i="9"/>
  <c r="H4" i="9"/>
  <c r="H13" i="9"/>
  <c r="G4" i="9"/>
  <c r="G13" i="9"/>
  <c r="J13" i="9"/>
  <c r="I18" i="8"/>
  <c r="H18" i="8"/>
  <c r="G18" i="8"/>
  <c r="I17" i="8"/>
  <c r="G17" i="8"/>
  <c r="G10" i="8"/>
  <c r="J10" i="8"/>
  <c r="G9" i="8"/>
  <c r="G8" i="8"/>
  <c r="G7" i="8"/>
  <c r="G6" i="8"/>
  <c r="J6" i="8"/>
  <c r="G5" i="8"/>
  <c r="I5" i="8"/>
  <c r="H5" i="8"/>
  <c r="G4" i="8"/>
  <c r="I4" i="8"/>
  <c r="I13" i="8"/>
  <c r="H4" i="8"/>
  <c r="H13" i="8"/>
  <c r="G23" i="8"/>
  <c r="G22" i="8"/>
  <c r="G24" i="8"/>
  <c r="B21" i="8"/>
  <c r="B20" i="8"/>
  <c r="I19" i="8"/>
  <c r="H19" i="8"/>
  <c r="G19" i="8"/>
  <c r="J18" i="8"/>
  <c r="J17" i="8"/>
  <c r="C17" i="8"/>
  <c r="D17" i="8"/>
  <c r="C16" i="8"/>
  <c r="D16" i="8"/>
  <c r="C15" i="8"/>
  <c r="B15" i="8"/>
  <c r="D15" i="8"/>
  <c r="C14" i="8"/>
  <c r="D14" i="8"/>
  <c r="C13" i="8"/>
  <c r="B13" i="8"/>
  <c r="D13" i="8"/>
  <c r="O12" i="8"/>
  <c r="J12" i="8"/>
  <c r="C12" i="8"/>
  <c r="B12" i="8"/>
  <c r="D12" i="8"/>
  <c r="O11" i="8"/>
  <c r="J11" i="8"/>
  <c r="C11" i="8"/>
  <c r="B11" i="8"/>
  <c r="D11" i="8"/>
  <c r="N10" i="8"/>
  <c r="O10" i="8"/>
  <c r="C10" i="8"/>
  <c r="B10" i="8"/>
  <c r="D10" i="8"/>
  <c r="N9" i="8"/>
  <c r="O9" i="8"/>
  <c r="J9" i="8"/>
  <c r="C9" i="8"/>
  <c r="C18" i="8"/>
  <c r="B9" i="8"/>
  <c r="D9" i="8"/>
  <c r="N8" i="8"/>
  <c r="O8" i="8"/>
  <c r="J8" i="8"/>
  <c r="B8" i="8"/>
  <c r="B18" i="8"/>
  <c r="D18" i="8"/>
  <c r="O7" i="8"/>
  <c r="J7" i="8"/>
  <c r="N6" i="8"/>
  <c r="O6" i="8"/>
  <c r="N13" i="8"/>
  <c r="M5" i="8"/>
  <c r="O5" i="8"/>
  <c r="J5" i="8"/>
  <c r="M4" i="8"/>
  <c r="O4" i="8"/>
  <c r="M13" i="8"/>
  <c r="O13" i="8"/>
  <c r="J4" i="8"/>
  <c r="B4" i="8"/>
  <c r="B23" i="10"/>
  <c r="D16" i="9"/>
  <c r="D18" i="9"/>
  <c r="D12" i="9"/>
  <c r="O13" i="9"/>
  <c r="D8" i="9"/>
  <c r="J17" i="9"/>
  <c r="J4" i="9"/>
  <c r="J18" i="9"/>
  <c r="J19" i="8"/>
  <c r="G13" i="8"/>
  <c r="J13" i="8"/>
  <c r="D8" i="8"/>
  <c r="B4" i="5"/>
  <c r="B4" i="6"/>
  <c r="J19" i="9"/>
  <c r="B23" i="9"/>
  <c r="B23" i="8"/>
  <c r="C16" i="6"/>
  <c r="C15" i="6"/>
  <c r="B15" i="6"/>
  <c r="C14" i="6"/>
  <c r="C13" i="6"/>
  <c r="B13" i="6"/>
  <c r="C12" i="6"/>
  <c r="C11" i="6"/>
  <c r="C10" i="6"/>
  <c r="B10" i="6"/>
  <c r="C9" i="6"/>
  <c r="B9" i="6"/>
  <c r="B8" i="6"/>
  <c r="N10" i="6"/>
  <c r="N9" i="6"/>
  <c r="N8" i="6"/>
  <c r="N6" i="6"/>
  <c r="M4" i="6"/>
  <c r="M5" i="6"/>
  <c r="G24" i="6"/>
  <c r="B21" i="6"/>
  <c r="B20" i="6"/>
  <c r="I19" i="6"/>
  <c r="H19" i="6"/>
  <c r="G19" i="6"/>
  <c r="J18" i="6"/>
  <c r="J17" i="6"/>
  <c r="J19" i="6"/>
  <c r="C17" i="6"/>
  <c r="D17" i="6"/>
  <c r="D16" i="6"/>
  <c r="D15" i="6"/>
  <c r="D14" i="6"/>
  <c r="N13" i="6"/>
  <c r="M13" i="6"/>
  <c r="I13" i="6"/>
  <c r="H13" i="6"/>
  <c r="G13" i="6"/>
  <c r="J13" i="6"/>
  <c r="D13" i="6"/>
  <c r="O12" i="6"/>
  <c r="J12" i="6"/>
  <c r="B12" i="6"/>
  <c r="D12" i="6"/>
  <c r="O11" i="6"/>
  <c r="J11" i="6"/>
  <c r="B11" i="6"/>
  <c r="D11" i="6"/>
  <c r="O10" i="6"/>
  <c r="J10" i="6"/>
  <c r="D10" i="6"/>
  <c r="O9" i="6"/>
  <c r="J9" i="6"/>
  <c r="C18" i="6"/>
  <c r="D9" i="6"/>
  <c r="O8" i="6"/>
  <c r="J8" i="6"/>
  <c r="D8" i="6"/>
  <c r="O7" i="6"/>
  <c r="J7" i="6"/>
  <c r="O6" i="6"/>
  <c r="J6" i="6"/>
  <c r="O5" i="6"/>
  <c r="J5" i="6"/>
  <c r="O4" i="6"/>
  <c r="J4" i="6"/>
  <c r="O13" i="6"/>
  <c r="B18" i="6"/>
  <c r="D18" i="6"/>
  <c r="B8" i="5"/>
  <c r="B9" i="5"/>
  <c r="B10" i="5"/>
  <c r="B11" i="5"/>
  <c r="B12" i="5"/>
  <c r="B13" i="5"/>
  <c r="B15" i="5"/>
  <c r="B18" i="5"/>
  <c r="C9" i="5"/>
  <c r="C10" i="5"/>
  <c r="C11" i="5"/>
  <c r="C12" i="5"/>
  <c r="C13" i="5"/>
  <c r="C14" i="5"/>
  <c r="C15" i="5"/>
  <c r="C16" i="5"/>
  <c r="C17" i="5"/>
  <c r="C18" i="5"/>
  <c r="D18" i="5"/>
  <c r="B20" i="5"/>
  <c r="B21" i="5"/>
  <c r="G13" i="5"/>
  <c r="H13" i="5"/>
  <c r="I13" i="5"/>
  <c r="J13" i="5"/>
  <c r="J17" i="5"/>
  <c r="J18" i="5"/>
  <c r="J19" i="5"/>
  <c r="G24" i="5"/>
  <c r="M13" i="5"/>
  <c r="N13" i="5"/>
  <c r="O13" i="5"/>
  <c r="B23" i="5"/>
  <c r="B23" i="6"/>
  <c r="I19" i="5"/>
  <c r="H19" i="5"/>
  <c r="G19" i="5"/>
  <c r="D17" i="5"/>
  <c r="D16" i="5"/>
  <c r="D15" i="5"/>
  <c r="D14" i="5"/>
  <c r="O12" i="5"/>
  <c r="J12" i="5"/>
  <c r="D13" i="5"/>
  <c r="O11" i="5"/>
  <c r="J11" i="5"/>
  <c r="D12" i="5"/>
  <c r="O10" i="5"/>
  <c r="J10" i="5"/>
  <c r="D11" i="5"/>
  <c r="O9" i="5"/>
  <c r="J9" i="5"/>
  <c r="D10" i="5"/>
  <c r="O8" i="5"/>
  <c r="J8" i="5"/>
  <c r="D9" i="5"/>
  <c r="O7" i="5"/>
  <c r="J7" i="5"/>
  <c r="O6" i="5"/>
  <c r="J6" i="5"/>
  <c r="O5" i="5"/>
  <c r="J5" i="5"/>
  <c r="O4" i="5"/>
  <c r="J4" i="5"/>
  <c r="G24" i="4"/>
  <c r="I19" i="4"/>
  <c r="H19" i="4"/>
  <c r="G19" i="4"/>
  <c r="J18" i="4"/>
  <c r="J17" i="4"/>
  <c r="C17" i="4"/>
  <c r="B17" i="4"/>
  <c r="D17" i="4"/>
  <c r="D16" i="4"/>
  <c r="D15" i="4"/>
  <c r="D14" i="4"/>
  <c r="I13" i="4"/>
  <c r="H13" i="4"/>
  <c r="G13" i="4"/>
  <c r="J13" i="4"/>
  <c r="D13" i="4"/>
  <c r="J12" i="4"/>
  <c r="D12" i="4"/>
  <c r="J11" i="4"/>
  <c r="D11" i="4"/>
  <c r="J10" i="4"/>
  <c r="D10" i="4"/>
  <c r="J9" i="4"/>
  <c r="D9" i="4"/>
  <c r="J8" i="4"/>
  <c r="D8" i="4"/>
  <c r="J7" i="4"/>
  <c r="D7" i="4"/>
  <c r="J6" i="4"/>
  <c r="J5" i="4"/>
  <c r="J4" i="4"/>
  <c r="B4" i="4"/>
  <c r="B4" i="2"/>
  <c r="J19" i="4"/>
  <c r="D8" i="5"/>
  <c r="B22" i="4"/>
  <c r="D8" i="2"/>
  <c r="D9" i="2"/>
  <c r="D10" i="2"/>
  <c r="D11" i="2"/>
  <c r="D12" i="2"/>
  <c r="D13" i="2"/>
  <c r="D14" i="2"/>
  <c r="D15" i="2"/>
  <c r="D16" i="2"/>
  <c r="D7" i="2"/>
  <c r="G24" i="2"/>
  <c r="J4" i="2"/>
  <c r="J5" i="2"/>
  <c r="J6" i="2"/>
  <c r="J7" i="2"/>
  <c r="J8" i="2"/>
  <c r="J9" i="2"/>
  <c r="J10" i="2"/>
  <c r="J11" i="2"/>
  <c r="J12" i="2"/>
  <c r="H19" i="2"/>
  <c r="I19" i="2"/>
  <c r="G19" i="2"/>
  <c r="J18" i="2"/>
  <c r="J17" i="2"/>
  <c r="I13" i="2"/>
  <c r="H13" i="2"/>
  <c r="G13" i="2"/>
  <c r="C17" i="2"/>
  <c r="B17" i="2"/>
  <c r="D17" i="2"/>
  <c r="J13" i="2"/>
  <c r="J19" i="2"/>
  <c r="B22" i="2"/>
</calcChain>
</file>

<file path=xl/comments1.xml><?xml version="1.0" encoding="utf-8"?>
<comments xmlns="http://schemas.openxmlformats.org/spreadsheetml/2006/main">
  <authors>
    <author>Παναγιώτης Έξαρχος</author>
  </authors>
  <commentList>
    <comment ref="G7" authorId="0" shapeId="0">
      <text>
        <r>
          <rPr>
            <b/>
            <sz val="9"/>
            <color indexed="81"/>
            <rFont val="Tahoma"/>
            <family val="2"/>
            <charset val="161"/>
          </rPr>
          <t>Παναγιώτης Έξαρχος:</t>
        </r>
        <r>
          <rPr>
            <sz val="9"/>
            <color indexed="81"/>
            <rFont val="Tahoma"/>
            <family val="2"/>
            <charset val="161"/>
          </rPr>
          <t xml:space="preserve">
29 από τον πίνακα ΕΑΕ και 8 από τον πίνακα Γενικής.</t>
        </r>
      </text>
    </comment>
    <comment ref="G9" authorId="0" shapeId="0">
      <text>
        <r>
          <rPr>
            <b/>
            <sz val="9"/>
            <color indexed="81"/>
            <rFont val="Tahoma"/>
            <family val="2"/>
            <charset val="161"/>
          </rPr>
          <t>Παναγιώτης Έξαρχος:</t>
        </r>
        <r>
          <rPr>
            <sz val="9"/>
            <color indexed="81"/>
            <rFont val="Tahoma"/>
            <family val="2"/>
            <charset val="161"/>
          </rPr>
          <t xml:space="preserve">
οι 19 από τους 61 είναι ΤΕ16.01</t>
        </r>
      </text>
    </comment>
    <comment ref="G11" authorId="0" shapeId="0">
      <text>
        <r>
          <rPr>
            <b/>
            <sz val="9"/>
            <color indexed="81"/>
            <rFont val="Tahoma"/>
            <family val="2"/>
            <charset val="161"/>
          </rPr>
          <t>Παναγιώτης Έξαρχος:</t>
        </r>
        <r>
          <rPr>
            <sz val="9"/>
            <color indexed="81"/>
            <rFont val="Tahoma"/>
            <family val="2"/>
            <charset val="161"/>
          </rPr>
          <t xml:space="preserve">
18 από τον πίνακα ΕΑΕ και 15 από τον πίνακα Γενικής.</t>
        </r>
      </text>
    </comment>
    <comment ref="B15" authorId="0" shapeId="0">
      <text>
        <r>
          <rPr>
            <b/>
            <sz val="9"/>
            <color indexed="81"/>
            <rFont val="Tahoma"/>
            <family val="2"/>
            <charset val="161"/>
          </rPr>
          <t>Παναγιώτης Έξαρχος:</t>
        </r>
        <r>
          <rPr>
            <sz val="9"/>
            <color indexed="81"/>
            <rFont val="Tahoma"/>
            <family val="2"/>
            <charset val="161"/>
          </rPr>
          <t xml:space="preserve">
α ροή 671 λάθος - αυξήθηκε λόγω έλλειψης ΠΕ91.02 σε 678, επίσης προσλήφθηκαν ακόνα 3 τριτεκνοι, οπότε 681 στο σύνολο</t>
        </r>
      </text>
    </comment>
    <comment ref="B16" authorId="0" shapeId="0">
      <text>
        <r>
          <rPr>
            <b/>
            <sz val="9"/>
            <color indexed="81"/>
            <rFont val="Tahoma"/>
            <family val="2"/>
            <charset val="161"/>
          </rPr>
          <t>Παναγιώτης Έξαρχος:</t>
        </r>
        <r>
          <rPr>
            <sz val="9"/>
            <color indexed="81"/>
            <rFont val="Tahoma"/>
            <family val="2"/>
            <charset val="161"/>
          </rPr>
          <t xml:space="preserve">
α ροή 37 - λάθος τρέξιμο, ο αριθμός συμπληρώθηκε με τους ΠΕ91.01</t>
        </r>
      </text>
    </comment>
  </commentList>
</comments>
</file>

<file path=xl/comments10.xml><?xml version="1.0" encoding="utf-8"?>
<comments xmlns="http://schemas.openxmlformats.org/spreadsheetml/2006/main">
  <authors>
    <author>Παναγιώτης Έξαρχος</author>
  </authors>
  <commentList>
    <comment ref="G7" authorId="0" shapeId="0">
      <text>
        <r>
          <rPr>
            <b/>
            <sz val="9"/>
            <color indexed="81"/>
            <rFont val="Tahoma"/>
            <family val="2"/>
            <charset val="161"/>
          </rPr>
          <t>Παναγιώτης Έξαρχος:</t>
        </r>
        <r>
          <rPr>
            <sz val="9"/>
            <color indexed="81"/>
            <rFont val="Tahoma"/>
            <family val="2"/>
            <charset val="161"/>
          </rPr>
          <t xml:space="preserve">
29 από τον πίνακα ΕΑΕ και 8 από τον πίνακα Γενικής.</t>
        </r>
      </text>
    </comment>
    <comment ref="G9" authorId="0" shapeId="0">
      <text>
        <r>
          <rPr>
            <b/>
            <sz val="9"/>
            <color indexed="81"/>
            <rFont val="Tahoma"/>
            <family val="2"/>
            <charset val="161"/>
          </rPr>
          <t>Παναγιώτης Έξαρχος:</t>
        </r>
        <r>
          <rPr>
            <sz val="9"/>
            <color indexed="81"/>
            <rFont val="Tahoma"/>
            <family val="2"/>
            <charset val="161"/>
          </rPr>
          <t xml:space="preserve">
οι 19 από τους 61 είναι ΤΕ16.01</t>
        </r>
      </text>
    </comment>
    <comment ref="G11" authorId="0" shapeId="0">
      <text>
        <r>
          <rPr>
            <b/>
            <sz val="9"/>
            <color indexed="81"/>
            <rFont val="Tahoma"/>
            <family val="2"/>
            <charset val="161"/>
          </rPr>
          <t>Παναγιώτης Έξαρχος:</t>
        </r>
        <r>
          <rPr>
            <sz val="9"/>
            <color indexed="81"/>
            <rFont val="Tahoma"/>
            <family val="2"/>
            <charset val="161"/>
          </rPr>
          <t xml:space="preserve">
18 από τον πίνακα ΕΑΕ και 15 από τον πίνακα Γενικής.</t>
        </r>
      </text>
    </comment>
    <comment ref="B16" authorId="0" shapeId="0">
      <text>
        <r>
          <rPr>
            <b/>
            <sz val="9"/>
            <color indexed="81"/>
            <rFont val="Tahoma"/>
            <family val="2"/>
            <charset val="161"/>
          </rPr>
          <t>Παναγιώτης Έξαρχος:</t>
        </r>
        <r>
          <rPr>
            <sz val="9"/>
            <color indexed="81"/>
            <rFont val="Tahoma"/>
            <family val="2"/>
            <charset val="161"/>
          </rPr>
          <t xml:space="preserve">
α ροή 671 λάθος - αυξήθηκε λόγω έλλειψης ΠΕ91.02 σε 678, επίσης προσλήφθηκαν ακόνα 3 τριτεκνοι, οπότε 681 στο σύνολο</t>
        </r>
      </text>
    </comment>
    <comment ref="B17" authorId="0" shapeId="0">
      <text>
        <r>
          <rPr>
            <b/>
            <sz val="9"/>
            <color indexed="81"/>
            <rFont val="Tahoma"/>
            <family val="2"/>
            <charset val="161"/>
          </rPr>
          <t>Παναγιώτης Έξαρχος:</t>
        </r>
        <r>
          <rPr>
            <sz val="9"/>
            <color indexed="81"/>
            <rFont val="Tahoma"/>
            <family val="2"/>
            <charset val="161"/>
          </rPr>
          <t xml:space="preserve">
α ροή 37 - λάθος τρέξιμο, ο αριθμός συμπληρώθηκε με τους ΠΕ91.01</t>
        </r>
      </text>
    </comment>
  </commentList>
</comments>
</file>

<file path=xl/comments11.xml><?xml version="1.0" encoding="utf-8"?>
<comments xmlns="http://schemas.openxmlformats.org/spreadsheetml/2006/main">
  <authors>
    <author>Παναγιώτης Έξαρχος</author>
  </authors>
  <commentList>
    <comment ref="G7" authorId="0" shapeId="0">
      <text>
        <r>
          <rPr>
            <b/>
            <sz val="9"/>
            <color indexed="81"/>
            <rFont val="Tahoma"/>
            <family val="2"/>
            <charset val="161"/>
          </rPr>
          <t>Παναγιώτης Έξαρχος:</t>
        </r>
        <r>
          <rPr>
            <sz val="9"/>
            <color indexed="81"/>
            <rFont val="Tahoma"/>
            <family val="2"/>
            <charset val="161"/>
          </rPr>
          <t xml:space="preserve">
29 από τον πίνακα ΕΑΕ και 8 από τον πίνακα Γενικής.</t>
        </r>
      </text>
    </comment>
    <comment ref="G9" authorId="0" shapeId="0">
      <text>
        <r>
          <rPr>
            <b/>
            <sz val="9"/>
            <color indexed="81"/>
            <rFont val="Tahoma"/>
            <family val="2"/>
            <charset val="161"/>
          </rPr>
          <t>Παναγιώτης Έξαρχος:</t>
        </r>
        <r>
          <rPr>
            <sz val="9"/>
            <color indexed="81"/>
            <rFont val="Tahoma"/>
            <family val="2"/>
            <charset val="161"/>
          </rPr>
          <t xml:space="preserve">
οι 19 από τους 61 είναι ΤΕ16.01</t>
        </r>
      </text>
    </comment>
    <comment ref="G11" authorId="0" shapeId="0">
      <text>
        <r>
          <rPr>
            <b/>
            <sz val="9"/>
            <color indexed="81"/>
            <rFont val="Tahoma"/>
            <family val="2"/>
            <charset val="161"/>
          </rPr>
          <t>Παναγιώτης Έξαρχος:</t>
        </r>
        <r>
          <rPr>
            <sz val="9"/>
            <color indexed="81"/>
            <rFont val="Tahoma"/>
            <family val="2"/>
            <charset val="161"/>
          </rPr>
          <t xml:space="preserve">
18 από τον πίνακα ΕΑΕ και 15 από τον πίνακα Γενικής.</t>
        </r>
      </text>
    </comment>
    <comment ref="B16" authorId="0" shapeId="0">
      <text>
        <r>
          <rPr>
            <b/>
            <sz val="9"/>
            <color indexed="81"/>
            <rFont val="Tahoma"/>
            <family val="2"/>
            <charset val="161"/>
          </rPr>
          <t>Παναγιώτης Έξαρχος:</t>
        </r>
        <r>
          <rPr>
            <sz val="9"/>
            <color indexed="81"/>
            <rFont val="Tahoma"/>
            <family val="2"/>
            <charset val="161"/>
          </rPr>
          <t xml:space="preserve">
α ροή 671 λάθος - αυξήθηκε λόγω έλλειψης ΠΕ91.02 σε 678, επίσης προσλήφθηκαν ακόνα 3 τριτεκνοι, οπότε 681 στο σύνολο</t>
        </r>
      </text>
    </comment>
    <comment ref="B17" authorId="0" shapeId="0">
      <text>
        <r>
          <rPr>
            <b/>
            <sz val="9"/>
            <color indexed="81"/>
            <rFont val="Tahoma"/>
            <family val="2"/>
            <charset val="161"/>
          </rPr>
          <t>Παναγιώτης Έξαρχος:</t>
        </r>
        <r>
          <rPr>
            <sz val="9"/>
            <color indexed="81"/>
            <rFont val="Tahoma"/>
            <family val="2"/>
            <charset val="161"/>
          </rPr>
          <t xml:space="preserve">
α ροή 37 - λάθος τρέξιμο, ο αριθμός συμπληρώθηκε με τους ΠΕ91.01</t>
        </r>
      </text>
    </comment>
  </commentList>
</comments>
</file>

<file path=xl/comments12.xml><?xml version="1.0" encoding="utf-8"?>
<comments xmlns="http://schemas.openxmlformats.org/spreadsheetml/2006/main">
  <authors>
    <author>Παναγιώτης Έξαρχος</author>
  </authors>
  <commentList>
    <comment ref="G7" authorId="0" shapeId="0">
      <text>
        <r>
          <rPr>
            <b/>
            <sz val="9"/>
            <color indexed="81"/>
            <rFont val="Tahoma"/>
            <family val="2"/>
            <charset val="161"/>
          </rPr>
          <t>Παναγιώτης Έξαρχος:</t>
        </r>
        <r>
          <rPr>
            <sz val="9"/>
            <color indexed="81"/>
            <rFont val="Tahoma"/>
            <family val="2"/>
            <charset val="161"/>
          </rPr>
          <t xml:space="preserve">
29 από τον πίνακα ΕΑΕ και 8 από τον πίνακα Γενικής.</t>
        </r>
      </text>
    </comment>
    <comment ref="G9" authorId="0" shapeId="0">
      <text>
        <r>
          <rPr>
            <b/>
            <sz val="9"/>
            <color indexed="81"/>
            <rFont val="Tahoma"/>
            <family val="2"/>
            <charset val="161"/>
          </rPr>
          <t>Παναγιώτης Έξαρχος:</t>
        </r>
        <r>
          <rPr>
            <sz val="9"/>
            <color indexed="81"/>
            <rFont val="Tahoma"/>
            <family val="2"/>
            <charset val="161"/>
          </rPr>
          <t xml:space="preserve">
οι 19 από τους 61 είναι ΤΕ16.01</t>
        </r>
      </text>
    </comment>
    <comment ref="G11" authorId="0" shapeId="0">
      <text>
        <r>
          <rPr>
            <b/>
            <sz val="9"/>
            <color indexed="81"/>
            <rFont val="Tahoma"/>
            <family val="2"/>
            <charset val="161"/>
          </rPr>
          <t>Παναγιώτης Έξαρχος:</t>
        </r>
        <r>
          <rPr>
            <sz val="9"/>
            <color indexed="81"/>
            <rFont val="Tahoma"/>
            <family val="2"/>
            <charset val="161"/>
          </rPr>
          <t xml:space="preserve">
18 από τον πίνακα ΕΑΕ και 15 από τον πίνακα Γενικής.</t>
        </r>
      </text>
    </comment>
    <comment ref="B16" authorId="0" shapeId="0">
      <text>
        <r>
          <rPr>
            <b/>
            <sz val="9"/>
            <color indexed="81"/>
            <rFont val="Tahoma"/>
            <family val="2"/>
            <charset val="161"/>
          </rPr>
          <t>Παναγιώτης Έξαρχος:</t>
        </r>
        <r>
          <rPr>
            <sz val="9"/>
            <color indexed="81"/>
            <rFont val="Tahoma"/>
            <family val="2"/>
            <charset val="161"/>
          </rPr>
          <t xml:space="preserve">
α ροή 671 λάθος - αυξήθηκε λόγω έλλειψης ΠΕ91.02 σε 678, επίσης προσλήφθηκαν ακόνα 3 τριτεκνοι, οπότε 681 στο σύνολο</t>
        </r>
      </text>
    </comment>
    <comment ref="B17" authorId="0" shapeId="0">
      <text>
        <r>
          <rPr>
            <b/>
            <sz val="9"/>
            <color indexed="81"/>
            <rFont val="Tahoma"/>
            <family val="2"/>
            <charset val="161"/>
          </rPr>
          <t>Παναγιώτης Έξαρχος:</t>
        </r>
        <r>
          <rPr>
            <sz val="9"/>
            <color indexed="81"/>
            <rFont val="Tahoma"/>
            <family val="2"/>
            <charset val="161"/>
          </rPr>
          <t xml:space="preserve">
α ροή 37 - λάθος τρέξιμο, ο αριθμός συμπληρώθηκε με τους ΠΕ91.01</t>
        </r>
      </text>
    </comment>
  </commentList>
</comments>
</file>

<file path=xl/comments2.xml><?xml version="1.0" encoding="utf-8"?>
<comments xmlns="http://schemas.openxmlformats.org/spreadsheetml/2006/main">
  <authors>
    <author>Παναγιώτης Έξαρχος</author>
  </authors>
  <commentList>
    <comment ref="G7" authorId="0" shapeId="0">
      <text>
        <r>
          <rPr>
            <b/>
            <sz val="9"/>
            <color indexed="81"/>
            <rFont val="Tahoma"/>
            <family val="2"/>
            <charset val="161"/>
          </rPr>
          <t>Παναγιώτης Έξαρχος:</t>
        </r>
        <r>
          <rPr>
            <sz val="9"/>
            <color indexed="81"/>
            <rFont val="Tahoma"/>
            <family val="2"/>
            <charset val="161"/>
          </rPr>
          <t xml:space="preserve">
29 από τον πίνακα ΕΑΕ και 8 από τον πίνακα Γενικής.</t>
        </r>
      </text>
    </comment>
    <comment ref="G9" authorId="0" shapeId="0">
      <text>
        <r>
          <rPr>
            <b/>
            <sz val="9"/>
            <color indexed="81"/>
            <rFont val="Tahoma"/>
            <family val="2"/>
            <charset val="161"/>
          </rPr>
          <t>Παναγιώτης Έξαρχος:</t>
        </r>
        <r>
          <rPr>
            <sz val="9"/>
            <color indexed="81"/>
            <rFont val="Tahoma"/>
            <family val="2"/>
            <charset val="161"/>
          </rPr>
          <t xml:space="preserve">
οι 19 από τους 61 είναι ΤΕ16.01</t>
        </r>
      </text>
    </comment>
    <comment ref="G11" authorId="0" shapeId="0">
      <text>
        <r>
          <rPr>
            <b/>
            <sz val="9"/>
            <color indexed="81"/>
            <rFont val="Tahoma"/>
            <family val="2"/>
            <charset val="161"/>
          </rPr>
          <t>Παναγιώτης Έξαρχος:</t>
        </r>
        <r>
          <rPr>
            <sz val="9"/>
            <color indexed="81"/>
            <rFont val="Tahoma"/>
            <family val="2"/>
            <charset val="161"/>
          </rPr>
          <t xml:space="preserve">
18 από τον πίνακα ΕΑΕ και 15 από τον πίνακα Γενικής.</t>
        </r>
      </text>
    </comment>
    <comment ref="B15" authorId="0" shapeId="0">
      <text>
        <r>
          <rPr>
            <b/>
            <sz val="9"/>
            <color indexed="81"/>
            <rFont val="Tahoma"/>
            <family val="2"/>
            <charset val="161"/>
          </rPr>
          <t>Παναγιώτης Έξαρχος:</t>
        </r>
        <r>
          <rPr>
            <sz val="9"/>
            <color indexed="81"/>
            <rFont val="Tahoma"/>
            <family val="2"/>
            <charset val="161"/>
          </rPr>
          <t xml:space="preserve">
α ροή 671 λάθος - αυξήθηκε λόγω έλλειψης ΠΕ91.02 σε 678, επίσης προσλήφθηκαν ακόνα 3 τριτεκνοι, οπότε 681 στο σύνολο</t>
        </r>
      </text>
    </comment>
    <comment ref="B16" authorId="0" shapeId="0">
      <text>
        <r>
          <rPr>
            <b/>
            <sz val="9"/>
            <color indexed="81"/>
            <rFont val="Tahoma"/>
            <family val="2"/>
            <charset val="161"/>
          </rPr>
          <t>Παναγιώτης Έξαρχος:</t>
        </r>
        <r>
          <rPr>
            <sz val="9"/>
            <color indexed="81"/>
            <rFont val="Tahoma"/>
            <family val="2"/>
            <charset val="161"/>
          </rPr>
          <t xml:space="preserve">
α ροή 37 - λάθος τρέξιμο, ο αριθμός συμπληρώθηκε με τους ΠΕ91.01</t>
        </r>
      </text>
    </comment>
  </commentList>
</comments>
</file>

<file path=xl/comments3.xml><?xml version="1.0" encoding="utf-8"?>
<comments xmlns="http://schemas.openxmlformats.org/spreadsheetml/2006/main">
  <authors>
    <author>Παναγιώτης Έξαρχος</author>
  </authors>
  <commentList>
    <comment ref="G7" authorId="0" shapeId="0">
      <text>
        <r>
          <rPr>
            <b/>
            <sz val="9"/>
            <color indexed="81"/>
            <rFont val="Tahoma"/>
            <family val="2"/>
            <charset val="161"/>
          </rPr>
          <t>Παναγιώτης Έξαρχος:</t>
        </r>
        <r>
          <rPr>
            <sz val="9"/>
            <color indexed="81"/>
            <rFont val="Tahoma"/>
            <family val="2"/>
            <charset val="161"/>
          </rPr>
          <t xml:space="preserve">
29 από τον πίνακα ΕΑΕ και 8 από τον πίνακα Γενικής.</t>
        </r>
      </text>
    </comment>
    <comment ref="G9" authorId="0" shapeId="0">
      <text>
        <r>
          <rPr>
            <b/>
            <sz val="9"/>
            <color indexed="81"/>
            <rFont val="Tahoma"/>
            <family val="2"/>
            <charset val="161"/>
          </rPr>
          <t>Παναγιώτης Έξαρχος:</t>
        </r>
        <r>
          <rPr>
            <sz val="9"/>
            <color indexed="81"/>
            <rFont val="Tahoma"/>
            <family val="2"/>
            <charset val="161"/>
          </rPr>
          <t xml:space="preserve">
οι 19 από τους 61 είναι ΤΕ16.01</t>
        </r>
      </text>
    </comment>
    <comment ref="G11" authorId="0" shapeId="0">
      <text>
        <r>
          <rPr>
            <b/>
            <sz val="9"/>
            <color indexed="81"/>
            <rFont val="Tahoma"/>
            <family val="2"/>
            <charset val="161"/>
          </rPr>
          <t>Παναγιώτης Έξαρχος:</t>
        </r>
        <r>
          <rPr>
            <sz val="9"/>
            <color indexed="81"/>
            <rFont val="Tahoma"/>
            <family val="2"/>
            <charset val="161"/>
          </rPr>
          <t xml:space="preserve">
18 από τον πίνακα ΕΑΕ και 15 από τον πίνακα Γενικής.</t>
        </r>
      </text>
    </comment>
    <comment ref="B16" authorId="0" shapeId="0">
      <text>
        <r>
          <rPr>
            <b/>
            <sz val="9"/>
            <color indexed="81"/>
            <rFont val="Tahoma"/>
            <family val="2"/>
            <charset val="161"/>
          </rPr>
          <t>Παναγιώτης Έξαρχος:</t>
        </r>
        <r>
          <rPr>
            <sz val="9"/>
            <color indexed="81"/>
            <rFont val="Tahoma"/>
            <family val="2"/>
            <charset val="161"/>
          </rPr>
          <t xml:space="preserve">
α ροή 671 λάθος - αυξήθηκε λόγω έλλειψης ΠΕ91.02 σε 678, επίσης προσλήφθηκαν ακόνα 3 τριτεκνοι, οπότε 681 στο σύνολο</t>
        </r>
      </text>
    </comment>
    <comment ref="B17" authorId="0" shapeId="0">
      <text>
        <r>
          <rPr>
            <b/>
            <sz val="9"/>
            <color indexed="81"/>
            <rFont val="Tahoma"/>
            <family val="2"/>
            <charset val="161"/>
          </rPr>
          <t>Παναγιώτης Έξαρχος:</t>
        </r>
        <r>
          <rPr>
            <sz val="9"/>
            <color indexed="81"/>
            <rFont val="Tahoma"/>
            <family val="2"/>
            <charset val="161"/>
          </rPr>
          <t xml:space="preserve">
α ροή 37 - λάθος τρέξιμο, ο αριθμός συμπληρώθηκε με τους ΠΕ91.01</t>
        </r>
      </text>
    </comment>
  </commentList>
</comments>
</file>

<file path=xl/comments4.xml><?xml version="1.0" encoding="utf-8"?>
<comments xmlns="http://schemas.openxmlformats.org/spreadsheetml/2006/main">
  <authors>
    <author>Παναγιώτης Έξαρχος</author>
  </authors>
  <commentList>
    <comment ref="G7" authorId="0" shapeId="0">
      <text>
        <r>
          <rPr>
            <b/>
            <sz val="9"/>
            <color indexed="81"/>
            <rFont val="Tahoma"/>
            <family val="2"/>
            <charset val="161"/>
          </rPr>
          <t>Παναγιώτης Έξαρχος:</t>
        </r>
        <r>
          <rPr>
            <sz val="9"/>
            <color indexed="81"/>
            <rFont val="Tahoma"/>
            <family val="2"/>
            <charset val="161"/>
          </rPr>
          <t xml:space="preserve">
29 από τον πίνακα ΕΑΕ και 8 από τον πίνακα Γενικής.</t>
        </r>
      </text>
    </comment>
    <comment ref="G9" authorId="0" shapeId="0">
      <text>
        <r>
          <rPr>
            <b/>
            <sz val="9"/>
            <color indexed="81"/>
            <rFont val="Tahoma"/>
            <family val="2"/>
            <charset val="161"/>
          </rPr>
          <t>Παναγιώτης Έξαρχος:</t>
        </r>
        <r>
          <rPr>
            <sz val="9"/>
            <color indexed="81"/>
            <rFont val="Tahoma"/>
            <family val="2"/>
            <charset val="161"/>
          </rPr>
          <t xml:space="preserve">
οι 19 από τους 61 είναι ΤΕ16.01</t>
        </r>
      </text>
    </comment>
    <comment ref="G11" authorId="0" shapeId="0">
      <text>
        <r>
          <rPr>
            <b/>
            <sz val="9"/>
            <color indexed="81"/>
            <rFont val="Tahoma"/>
            <family val="2"/>
            <charset val="161"/>
          </rPr>
          <t>Παναγιώτης Έξαρχος:</t>
        </r>
        <r>
          <rPr>
            <sz val="9"/>
            <color indexed="81"/>
            <rFont val="Tahoma"/>
            <family val="2"/>
            <charset val="161"/>
          </rPr>
          <t xml:space="preserve">
18 από τον πίνακα ΕΑΕ και 15 από τον πίνακα Γενικής.</t>
        </r>
      </text>
    </comment>
    <comment ref="B16" authorId="0" shapeId="0">
      <text>
        <r>
          <rPr>
            <b/>
            <sz val="9"/>
            <color indexed="81"/>
            <rFont val="Tahoma"/>
            <family val="2"/>
            <charset val="161"/>
          </rPr>
          <t>Παναγιώτης Έξαρχος:</t>
        </r>
        <r>
          <rPr>
            <sz val="9"/>
            <color indexed="81"/>
            <rFont val="Tahoma"/>
            <family val="2"/>
            <charset val="161"/>
          </rPr>
          <t xml:space="preserve">
α ροή 671 λάθος - αυξήθηκε λόγω έλλειψης ΠΕ91.02 σε 678, επίσης προσλήφθηκαν ακόνα 3 τριτεκνοι, οπότε 681 στο σύνολο</t>
        </r>
      </text>
    </comment>
    <comment ref="B17" authorId="0" shapeId="0">
      <text>
        <r>
          <rPr>
            <b/>
            <sz val="9"/>
            <color indexed="81"/>
            <rFont val="Tahoma"/>
            <family val="2"/>
            <charset val="161"/>
          </rPr>
          <t>Παναγιώτης Έξαρχος:</t>
        </r>
        <r>
          <rPr>
            <sz val="9"/>
            <color indexed="81"/>
            <rFont val="Tahoma"/>
            <family val="2"/>
            <charset val="161"/>
          </rPr>
          <t xml:space="preserve">
α ροή 37 - λάθος τρέξιμο, ο αριθμός συμπληρώθηκε με τους ΠΕ91.01</t>
        </r>
      </text>
    </comment>
  </commentList>
</comments>
</file>

<file path=xl/comments5.xml><?xml version="1.0" encoding="utf-8"?>
<comments xmlns="http://schemas.openxmlformats.org/spreadsheetml/2006/main">
  <authors>
    <author>Παναγιώτης Έξαρχος</author>
  </authors>
  <commentList>
    <comment ref="G7" authorId="0" shapeId="0">
      <text>
        <r>
          <rPr>
            <b/>
            <sz val="9"/>
            <color indexed="81"/>
            <rFont val="Tahoma"/>
            <family val="2"/>
            <charset val="161"/>
          </rPr>
          <t>Παναγιώτης Έξαρχος:</t>
        </r>
        <r>
          <rPr>
            <sz val="9"/>
            <color indexed="81"/>
            <rFont val="Tahoma"/>
            <family val="2"/>
            <charset val="161"/>
          </rPr>
          <t xml:space="preserve">
29 από τον πίνακα ΕΑΕ και 8 από τον πίνακα Γενικής.</t>
        </r>
      </text>
    </comment>
    <comment ref="G9" authorId="0" shapeId="0">
      <text>
        <r>
          <rPr>
            <b/>
            <sz val="9"/>
            <color indexed="81"/>
            <rFont val="Tahoma"/>
            <family val="2"/>
            <charset val="161"/>
          </rPr>
          <t>Παναγιώτης Έξαρχος:</t>
        </r>
        <r>
          <rPr>
            <sz val="9"/>
            <color indexed="81"/>
            <rFont val="Tahoma"/>
            <family val="2"/>
            <charset val="161"/>
          </rPr>
          <t xml:space="preserve">
οι 19 από τους 61 είναι ΤΕ16.01</t>
        </r>
      </text>
    </comment>
    <comment ref="G11" authorId="0" shapeId="0">
      <text>
        <r>
          <rPr>
            <b/>
            <sz val="9"/>
            <color indexed="81"/>
            <rFont val="Tahoma"/>
            <family val="2"/>
            <charset val="161"/>
          </rPr>
          <t>Παναγιώτης Έξαρχος:</t>
        </r>
        <r>
          <rPr>
            <sz val="9"/>
            <color indexed="81"/>
            <rFont val="Tahoma"/>
            <family val="2"/>
            <charset val="161"/>
          </rPr>
          <t xml:space="preserve">
18 από τον πίνακα ΕΑΕ και 15 από τον πίνακα Γενικής.</t>
        </r>
      </text>
    </comment>
    <comment ref="B16" authorId="0" shapeId="0">
      <text>
        <r>
          <rPr>
            <b/>
            <sz val="9"/>
            <color indexed="81"/>
            <rFont val="Tahoma"/>
            <family val="2"/>
            <charset val="161"/>
          </rPr>
          <t>Παναγιώτης Έξαρχος:</t>
        </r>
        <r>
          <rPr>
            <sz val="9"/>
            <color indexed="81"/>
            <rFont val="Tahoma"/>
            <family val="2"/>
            <charset val="161"/>
          </rPr>
          <t xml:space="preserve">
α ροή 671 λάθος - αυξήθηκε λόγω έλλειψης ΠΕ91.02 σε 678, επίσης προσλήφθηκαν ακόνα 3 τριτεκνοι, οπότε 681 στο σύνολο</t>
        </r>
      </text>
    </comment>
    <comment ref="B17" authorId="0" shapeId="0">
      <text>
        <r>
          <rPr>
            <b/>
            <sz val="9"/>
            <color indexed="81"/>
            <rFont val="Tahoma"/>
            <family val="2"/>
            <charset val="161"/>
          </rPr>
          <t>Παναγιώτης Έξαρχος:</t>
        </r>
        <r>
          <rPr>
            <sz val="9"/>
            <color indexed="81"/>
            <rFont val="Tahoma"/>
            <family val="2"/>
            <charset val="161"/>
          </rPr>
          <t xml:space="preserve">
α ροή 37 - λάθος τρέξιμο, ο αριθμός συμπληρώθηκε με τους ΠΕ91.01</t>
        </r>
      </text>
    </comment>
  </commentList>
</comments>
</file>

<file path=xl/comments6.xml><?xml version="1.0" encoding="utf-8"?>
<comments xmlns="http://schemas.openxmlformats.org/spreadsheetml/2006/main">
  <authors>
    <author>Παναγιώτης Έξαρχος</author>
  </authors>
  <commentList>
    <comment ref="G7" authorId="0" shapeId="0">
      <text>
        <r>
          <rPr>
            <b/>
            <sz val="9"/>
            <color indexed="81"/>
            <rFont val="Tahoma"/>
            <family val="2"/>
            <charset val="161"/>
          </rPr>
          <t>Παναγιώτης Έξαρχος:</t>
        </r>
        <r>
          <rPr>
            <sz val="9"/>
            <color indexed="81"/>
            <rFont val="Tahoma"/>
            <family val="2"/>
            <charset val="161"/>
          </rPr>
          <t xml:space="preserve">
29 από τον πίνακα ΕΑΕ και 8 από τον πίνακα Γενικής.</t>
        </r>
      </text>
    </comment>
    <comment ref="G9" authorId="0" shapeId="0">
      <text>
        <r>
          <rPr>
            <b/>
            <sz val="9"/>
            <color indexed="81"/>
            <rFont val="Tahoma"/>
            <family val="2"/>
            <charset val="161"/>
          </rPr>
          <t>Παναγιώτης Έξαρχος:</t>
        </r>
        <r>
          <rPr>
            <sz val="9"/>
            <color indexed="81"/>
            <rFont val="Tahoma"/>
            <family val="2"/>
            <charset val="161"/>
          </rPr>
          <t xml:space="preserve">
οι 19 από τους 61 είναι ΤΕ16.01</t>
        </r>
      </text>
    </comment>
    <comment ref="G11" authorId="0" shapeId="0">
      <text>
        <r>
          <rPr>
            <b/>
            <sz val="9"/>
            <color indexed="81"/>
            <rFont val="Tahoma"/>
            <family val="2"/>
            <charset val="161"/>
          </rPr>
          <t>Παναγιώτης Έξαρχος:</t>
        </r>
        <r>
          <rPr>
            <sz val="9"/>
            <color indexed="81"/>
            <rFont val="Tahoma"/>
            <family val="2"/>
            <charset val="161"/>
          </rPr>
          <t xml:space="preserve">
18 από τον πίνακα ΕΑΕ και 15 από τον πίνακα Γενικής.</t>
        </r>
      </text>
    </comment>
    <comment ref="B16" authorId="0" shapeId="0">
      <text>
        <r>
          <rPr>
            <b/>
            <sz val="9"/>
            <color indexed="81"/>
            <rFont val="Tahoma"/>
            <family val="2"/>
            <charset val="161"/>
          </rPr>
          <t>Παναγιώτης Έξαρχος:</t>
        </r>
        <r>
          <rPr>
            <sz val="9"/>
            <color indexed="81"/>
            <rFont val="Tahoma"/>
            <family val="2"/>
            <charset val="161"/>
          </rPr>
          <t xml:space="preserve">
α ροή 671 λάθος - αυξήθηκε λόγω έλλειψης ΠΕ91.02 σε 678, επίσης προσλήφθηκαν ακόνα 3 τριτεκνοι, οπότε 681 στο σύνολο</t>
        </r>
      </text>
    </comment>
    <comment ref="B17" authorId="0" shapeId="0">
      <text>
        <r>
          <rPr>
            <b/>
            <sz val="9"/>
            <color indexed="81"/>
            <rFont val="Tahoma"/>
            <family val="2"/>
            <charset val="161"/>
          </rPr>
          <t>Παναγιώτης Έξαρχος:</t>
        </r>
        <r>
          <rPr>
            <sz val="9"/>
            <color indexed="81"/>
            <rFont val="Tahoma"/>
            <family val="2"/>
            <charset val="161"/>
          </rPr>
          <t xml:space="preserve">
α ροή 37 - λάθος τρέξιμο, ο αριθμός συμπληρώθηκε με τους ΠΕ91.01</t>
        </r>
      </text>
    </comment>
  </commentList>
</comments>
</file>

<file path=xl/comments7.xml><?xml version="1.0" encoding="utf-8"?>
<comments xmlns="http://schemas.openxmlformats.org/spreadsheetml/2006/main">
  <authors>
    <author>Παναγιώτης Έξαρχος</author>
  </authors>
  <commentList>
    <comment ref="G7" authorId="0" shapeId="0">
      <text>
        <r>
          <rPr>
            <b/>
            <sz val="9"/>
            <color indexed="81"/>
            <rFont val="Tahoma"/>
            <family val="2"/>
            <charset val="161"/>
          </rPr>
          <t>Παναγιώτης Έξαρχος:</t>
        </r>
        <r>
          <rPr>
            <sz val="9"/>
            <color indexed="81"/>
            <rFont val="Tahoma"/>
            <family val="2"/>
            <charset val="161"/>
          </rPr>
          <t xml:space="preserve">
29 από τον πίνακα ΕΑΕ και 8 από τον πίνακα Γενικής.</t>
        </r>
      </text>
    </comment>
    <comment ref="G9" authorId="0" shapeId="0">
      <text>
        <r>
          <rPr>
            <b/>
            <sz val="9"/>
            <color indexed="81"/>
            <rFont val="Tahoma"/>
            <family val="2"/>
            <charset val="161"/>
          </rPr>
          <t>Παναγιώτης Έξαρχος:</t>
        </r>
        <r>
          <rPr>
            <sz val="9"/>
            <color indexed="81"/>
            <rFont val="Tahoma"/>
            <family val="2"/>
            <charset val="161"/>
          </rPr>
          <t xml:space="preserve">
οι 19 από τους 61 είναι ΤΕ16.01</t>
        </r>
      </text>
    </comment>
    <comment ref="G11" authorId="0" shapeId="0">
      <text>
        <r>
          <rPr>
            <b/>
            <sz val="9"/>
            <color indexed="81"/>
            <rFont val="Tahoma"/>
            <family val="2"/>
            <charset val="161"/>
          </rPr>
          <t>Παναγιώτης Έξαρχος:</t>
        </r>
        <r>
          <rPr>
            <sz val="9"/>
            <color indexed="81"/>
            <rFont val="Tahoma"/>
            <family val="2"/>
            <charset val="161"/>
          </rPr>
          <t xml:space="preserve">
18 από τον πίνακα ΕΑΕ και 15 από τον πίνακα Γενικής.</t>
        </r>
      </text>
    </comment>
    <comment ref="B16" authorId="0" shapeId="0">
      <text>
        <r>
          <rPr>
            <b/>
            <sz val="9"/>
            <color indexed="81"/>
            <rFont val="Tahoma"/>
            <family val="2"/>
            <charset val="161"/>
          </rPr>
          <t>Παναγιώτης Έξαρχος:</t>
        </r>
        <r>
          <rPr>
            <sz val="9"/>
            <color indexed="81"/>
            <rFont val="Tahoma"/>
            <family val="2"/>
            <charset val="161"/>
          </rPr>
          <t xml:space="preserve">
α ροή 671 λάθος - αυξήθηκε λόγω έλλειψης ΠΕ91.02 σε 678, επίσης προσλήφθηκαν ακόνα 3 τριτεκνοι, οπότε 681 στο σύνολο</t>
        </r>
      </text>
    </comment>
    <comment ref="B17" authorId="0" shapeId="0">
      <text>
        <r>
          <rPr>
            <b/>
            <sz val="9"/>
            <color indexed="81"/>
            <rFont val="Tahoma"/>
            <family val="2"/>
            <charset val="161"/>
          </rPr>
          <t>Παναγιώτης Έξαρχος:</t>
        </r>
        <r>
          <rPr>
            <sz val="9"/>
            <color indexed="81"/>
            <rFont val="Tahoma"/>
            <family val="2"/>
            <charset val="161"/>
          </rPr>
          <t xml:space="preserve">
α ροή 37 - λάθος τρέξιμο, ο αριθμός συμπληρώθηκε με τους ΠΕ91.01</t>
        </r>
      </text>
    </comment>
  </commentList>
</comments>
</file>

<file path=xl/comments8.xml><?xml version="1.0" encoding="utf-8"?>
<comments xmlns="http://schemas.openxmlformats.org/spreadsheetml/2006/main">
  <authors>
    <author>Παναγιώτης Έξαρχος</author>
  </authors>
  <commentList>
    <comment ref="G7" authorId="0" shapeId="0">
      <text>
        <r>
          <rPr>
            <b/>
            <sz val="9"/>
            <color indexed="81"/>
            <rFont val="Tahoma"/>
            <family val="2"/>
            <charset val="161"/>
          </rPr>
          <t>Παναγιώτης Έξαρχος:</t>
        </r>
        <r>
          <rPr>
            <sz val="9"/>
            <color indexed="81"/>
            <rFont val="Tahoma"/>
            <family val="2"/>
            <charset val="161"/>
          </rPr>
          <t xml:space="preserve">
29 από τον πίνακα ΕΑΕ και 8 από τον πίνακα Γενικής.</t>
        </r>
      </text>
    </comment>
    <comment ref="G9" authorId="0" shapeId="0">
      <text>
        <r>
          <rPr>
            <b/>
            <sz val="9"/>
            <color indexed="81"/>
            <rFont val="Tahoma"/>
            <family val="2"/>
            <charset val="161"/>
          </rPr>
          <t>Παναγιώτης Έξαρχος:</t>
        </r>
        <r>
          <rPr>
            <sz val="9"/>
            <color indexed="81"/>
            <rFont val="Tahoma"/>
            <family val="2"/>
            <charset val="161"/>
          </rPr>
          <t xml:space="preserve">
οι 19 από τους 61 είναι ΤΕ16.01</t>
        </r>
      </text>
    </comment>
    <comment ref="G11" authorId="0" shapeId="0">
      <text>
        <r>
          <rPr>
            <b/>
            <sz val="9"/>
            <color indexed="81"/>
            <rFont val="Tahoma"/>
            <family val="2"/>
            <charset val="161"/>
          </rPr>
          <t>Παναγιώτης Έξαρχος:</t>
        </r>
        <r>
          <rPr>
            <sz val="9"/>
            <color indexed="81"/>
            <rFont val="Tahoma"/>
            <family val="2"/>
            <charset val="161"/>
          </rPr>
          <t xml:space="preserve">
18 από τον πίνακα ΕΑΕ και 15 από τον πίνακα Γενικής.</t>
        </r>
      </text>
    </comment>
    <comment ref="B16" authorId="0" shapeId="0">
      <text>
        <r>
          <rPr>
            <b/>
            <sz val="9"/>
            <color indexed="81"/>
            <rFont val="Tahoma"/>
            <family val="2"/>
            <charset val="161"/>
          </rPr>
          <t>Παναγιώτης Έξαρχος:</t>
        </r>
        <r>
          <rPr>
            <sz val="9"/>
            <color indexed="81"/>
            <rFont val="Tahoma"/>
            <family val="2"/>
            <charset val="161"/>
          </rPr>
          <t xml:space="preserve">
α ροή 671 λάθος - αυξήθηκε λόγω έλλειψης ΠΕ91.02 σε 678, επίσης προσλήφθηκαν ακόνα 3 τριτεκνοι, οπότε 681 στο σύνολο</t>
        </r>
      </text>
    </comment>
    <comment ref="B17" authorId="0" shapeId="0">
      <text>
        <r>
          <rPr>
            <b/>
            <sz val="9"/>
            <color indexed="81"/>
            <rFont val="Tahoma"/>
            <family val="2"/>
            <charset val="161"/>
          </rPr>
          <t>Παναγιώτης Έξαρχος:</t>
        </r>
        <r>
          <rPr>
            <sz val="9"/>
            <color indexed="81"/>
            <rFont val="Tahoma"/>
            <family val="2"/>
            <charset val="161"/>
          </rPr>
          <t xml:space="preserve">
α ροή 37 - λάθος τρέξιμο, ο αριθμός συμπληρώθηκε με τους ΠΕ91.01</t>
        </r>
      </text>
    </comment>
  </commentList>
</comments>
</file>

<file path=xl/comments9.xml><?xml version="1.0" encoding="utf-8"?>
<comments xmlns="http://schemas.openxmlformats.org/spreadsheetml/2006/main">
  <authors>
    <author>Παναγιώτης Έξαρχος</author>
  </authors>
  <commentList>
    <comment ref="G7" authorId="0" shapeId="0">
      <text>
        <r>
          <rPr>
            <b/>
            <sz val="9"/>
            <color indexed="81"/>
            <rFont val="Tahoma"/>
            <family val="2"/>
            <charset val="161"/>
          </rPr>
          <t>Παναγιώτης Έξαρχος:</t>
        </r>
        <r>
          <rPr>
            <sz val="9"/>
            <color indexed="81"/>
            <rFont val="Tahoma"/>
            <family val="2"/>
            <charset val="161"/>
          </rPr>
          <t xml:space="preserve">
29 από τον πίνακα ΕΑΕ και 8 από τον πίνακα Γενικής.</t>
        </r>
      </text>
    </comment>
    <comment ref="G9" authorId="0" shapeId="0">
      <text>
        <r>
          <rPr>
            <b/>
            <sz val="9"/>
            <color indexed="81"/>
            <rFont val="Tahoma"/>
            <family val="2"/>
            <charset val="161"/>
          </rPr>
          <t>Παναγιώτης Έξαρχος:</t>
        </r>
        <r>
          <rPr>
            <sz val="9"/>
            <color indexed="81"/>
            <rFont val="Tahoma"/>
            <family val="2"/>
            <charset val="161"/>
          </rPr>
          <t xml:space="preserve">
οι 19 από τους 61 είναι ΤΕ16.01</t>
        </r>
      </text>
    </comment>
    <comment ref="G11" authorId="0" shapeId="0">
      <text>
        <r>
          <rPr>
            <b/>
            <sz val="9"/>
            <color indexed="81"/>
            <rFont val="Tahoma"/>
            <family val="2"/>
            <charset val="161"/>
          </rPr>
          <t>Παναγιώτης Έξαρχος:</t>
        </r>
        <r>
          <rPr>
            <sz val="9"/>
            <color indexed="81"/>
            <rFont val="Tahoma"/>
            <family val="2"/>
            <charset val="161"/>
          </rPr>
          <t xml:space="preserve">
18 από τον πίνακα ΕΑΕ και 15 από τον πίνακα Γενικής.</t>
        </r>
      </text>
    </comment>
    <comment ref="B16" authorId="0" shapeId="0">
      <text>
        <r>
          <rPr>
            <b/>
            <sz val="9"/>
            <color indexed="81"/>
            <rFont val="Tahoma"/>
            <family val="2"/>
            <charset val="161"/>
          </rPr>
          <t>Παναγιώτης Έξαρχος:</t>
        </r>
        <r>
          <rPr>
            <sz val="9"/>
            <color indexed="81"/>
            <rFont val="Tahoma"/>
            <family val="2"/>
            <charset val="161"/>
          </rPr>
          <t xml:space="preserve">
α ροή 671 λάθος - αυξήθηκε λόγω έλλειψης ΠΕ91.02 σε 678, επίσης προσλήφθηκαν ακόνα 3 τριτεκνοι, οπότε 681 στο σύνολο</t>
        </r>
      </text>
    </comment>
    <comment ref="B17" authorId="0" shapeId="0">
      <text>
        <r>
          <rPr>
            <b/>
            <sz val="9"/>
            <color indexed="81"/>
            <rFont val="Tahoma"/>
            <family val="2"/>
            <charset val="161"/>
          </rPr>
          <t>Παναγιώτης Έξαρχος:</t>
        </r>
        <r>
          <rPr>
            <sz val="9"/>
            <color indexed="81"/>
            <rFont val="Tahoma"/>
            <family val="2"/>
            <charset val="161"/>
          </rPr>
          <t xml:space="preserve">
α ροή 37 - λάθος τρέξιμο, ο αριθμός συμπληρώθηκε με τους ΠΕ91.01</t>
        </r>
      </text>
    </comment>
  </commentList>
</comments>
</file>

<file path=xl/sharedStrings.xml><?xml version="1.0" encoding="utf-8"?>
<sst xmlns="http://schemas.openxmlformats.org/spreadsheetml/2006/main" count="621" uniqueCount="28">
  <si>
    <t>ΠΕ60</t>
  </si>
  <si>
    <t>ΠΕ70 ΕΝΙΑΙΟΥ</t>
  </si>
  <si>
    <t>ΠΕ70 ΜΕΙΟΝ</t>
  </si>
  <si>
    <t>ΠΕ05</t>
  </si>
  <si>
    <t>ΑΠΩ</t>
  </si>
  <si>
    <t>ΑΜΩ</t>
  </si>
  <si>
    <t>ΠΕ06</t>
  </si>
  <si>
    <t>ΠΕ07</t>
  </si>
  <si>
    <t>ΠΕ08</t>
  </si>
  <si>
    <t>ΠΕ11</t>
  </si>
  <si>
    <t>ΠΕ79.01</t>
  </si>
  <si>
    <t>ΠΕ86</t>
  </si>
  <si>
    <t>ΠΕ91.01</t>
  </si>
  <si>
    <t>ΠΕ91.02</t>
  </si>
  <si>
    <t>ΒΡΑΙΛ</t>
  </si>
  <si>
    <t>ΕΝΓ</t>
  </si>
  <si>
    <t>ΕΑΕ</t>
  </si>
  <si>
    <t>ΠΕ70</t>
  </si>
  <si>
    <t>ΠΕ79</t>
  </si>
  <si>
    <t>ΠΕ70 ΤΥΖΕΠ</t>
  </si>
  <si>
    <t>ΚΕΔΔΥ</t>
  </si>
  <si>
    <t>ΣΥΝΟΛΟ</t>
  </si>
  <si>
    <t>ΣΜΕΑΕ - ΤΕ</t>
  </si>
  <si>
    <t>ΠΑΡΑΛΛΗΛΗ</t>
  </si>
  <si>
    <t>ΠΡΟΣΧΟΛΙΚΗ</t>
  </si>
  <si>
    <t>ΕΝΙΑΙΟΥ ΤΥΠΟΥ</t>
  </si>
  <si>
    <t>Δ.Υ.Ε.Π.</t>
  </si>
  <si>
    <t>03/12/2018 ΚΑΙ 13-12-2018 (1 πρόσληψη ΠΕ70 Ενιαίου Τα.)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</si>
</sst>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b/>
      <sz val="12"/>
      <name val="Calibri"/>
      <family val="2"/>
      <charset val="161"/>
      <scheme val="minor"/>
    </font>
    <font>
      <sz val="9"/>
      <color indexed="81"/>
      <name val="Tahoma"/>
      <family val="2"/>
      <charset val="161"/>
    </font>
    <font>
      <b/>
      <sz val="9"/>
      <color indexed="81"/>
      <name val="Tahoma"/>
      <family val="2"/>
      <charset val="161"/>
    </font>
    <font>
      <b/>
      <sz val="14"/>
      <color theme="1"/>
      <name val="Calibri"/>
      <family val="2"/>
      <charset val="161"/>
      <scheme val="minor"/>
    </font>
    <font>
      <b/>
      <sz val="14"/>
      <name val="Calibri"/>
      <family val="2"/>
      <charset val="161"/>
      <scheme val="minor"/>
    </font>
    <font>
      <b/>
      <sz val="18"/>
      <color theme="1"/>
      <name val="Calibri"/>
      <family val="2"/>
      <charset val="161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B0F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/>
    <xf numFmtId="0" fontId="2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1" xfId="0" applyFont="1" applyFill="1" applyBorder="1" applyAlignment="1">
      <alignment horizontal="center"/>
    </xf>
    <xf numFmtId="0" fontId="2" fillId="6" borderId="1" xfId="0" applyFont="1" applyFill="1" applyBorder="1"/>
    <xf numFmtId="0" fontId="2" fillId="6" borderId="1" xfId="0" applyFont="1" applyFill="1" applyBorder="1" applyAlignment="1">
      <alignment horizontal="center"/>
    </xf>
    <xf numFmtId="0" fontId="2" fillId="7" borderId="1" xfId="0" applyFont="1" applyFill="1" applyBorder="1"/>
    <xf numFmtId="0" fontId="2" fillId="7" borderId="1" xfId="0" applyFont="1" applyFill="1" applyBorder="1" applyAlignment="1">
      <alignment horizont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3" borderId="1" xfId="0" applyFont="1" applyFill="1" applyBorder="1"/>
    <xf numFmtId="0" fontId="7" fillId="3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8" borderId="1" xfId="0" applyFont="1" applyFill="1" applyBorder="1"/>
    <xf numFmtId="0" fontId="2" fillId="8" borderId="1" xfId="0" applyFont="1" applyFill="1" applyBorder="1" applyAlignment="1">
      <alignment horizontal="center"/>
    </xf>
    <xf numFmtId="0" fontId="6" fillId="7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6" fillId="7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6" fillId="7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6" fillId="7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6" fillId="7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6" fillId="7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6" fillId="7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6" fillId="7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6" fillId="7" borderId="1" xfId="0" applyFont="1" applyFill="1" applyBorder="1" applyAlignment="1">
      <alignment horizontal="center"/>
    </xf>
    <xf numFmtId="14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6" fillId="6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6" fillId="8" borderId="1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6" fillId="6" borderId="2" xfId="0" applyFont="1" applyFill="1" applyBorder="1" applyAlignment="1">
      <alignment horizontal="center"/>
    </xf>
    <xf numFmtId="0" fontId="6" fillId="6" borderId="3" xfId="0" applyFont="1" applyFill="1" applyBorder="1" applyAlignment="1">
      <alignment horizontal="center"/>
    </xf>
    <xf numFmtId="0" fontId="6" fillId="6" borderId="4" xfId="0" applyFont="1" applyFill="1" applyBorder="1" applyAlignment="1">
      <alignment horizontal="center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4"/>
  <sheetViews>
    <sheetView workbookViewId="0">
      <selection activeCell="B22" sqref="B22"/>
    </sheetView>
  </sheetViews>
  <sheetFormatPr defaultRowHeight="15" x14ac:dyDescent="0.25"/>
  <cols>
    <col min="1" max="1" width="14.5703125" bestFit="1" customWidth="1"/>
    <col min="2" max="2" width="6.7109375" bestFit="1" customWidth="1"/>
    <col min="3" max="3" width="7.42578125" customWidth="1"/>
    <col min="4" max="4" width="7.140625" customWidth="1"/>
    <col min="5" max="5" width="3.42578125" customWidth="1"/>
    <col min="6" max="6" width="9.140625" customWidth="1"/>
    <col min="7" max="7" width="7.42578125" customWidth="1"/>
    <col min="8" max="8" width="6.85546875" customWidth="1"/>
    <col min="9" max="9" width="7.28515625" customWidth="1"/>
    <col min="10" max="10" width="6.85546875" customWidth="1"/>
    <col min="11" max="11" width="4.28515625" customWidth="1"/>
  </cols>
  <sheetData>
    <row r="1" spans="1:11" ht="23.25" x14ac:dyDescent="0.35">
      <c r="A1" s="58">
        <v>43348</v>
      </c>
      <c r="B1" s="59"/>
      <c r="C1" s="59"/>
      <c r="D1" s="59"/>
      <c r="E1" s="59"/>
      <c r="F1" s="59"/>
      <c r="G1" s="59"/>
      <c r="H1" s="59"/>
      <c r="I1" s="59"/>
      <c r="J1" s="59"/>
      <c r="K1" s="59"/>
    </row>
    <row r="2" spans="1:11" ht="21.75" customHeight="1" x14ac:dyDescent="0.3">
      <c r="A2" s="60" t="s">
        <v>24</v>
      </c>
      <c r="B2" s="60"/>
      <c r="C2" s="60"/>
      <c r="D2" s="16"/>
      <c r="E2" s="16"/>
      <c r="F2" s="61" t="s">
        <v>22</v>
      </c>
      <c r="G2" s="61"/>
      <c r="H2" s="61"/>
      <c r="I2" s="61"/>
      <c r="J2" s="61"/>
    </row>
    <row r="3" spans="1:11" ht="21.75" customHeight="1" x14ac:dyDescent="0.25">
      <c r="A3" s="3"/>
      <c r="B3" s="2" t="s">
        <v>4</v>
      </c>
      <c r="C3" s="2" t="s">
        <v>5</v>
      </c>
      <c r="D3" s="14"/>
      <c r="E3" s="14"/>
      <c r="F3" s="7"/>
      <c r="G3" s="8" t="s">
        <v>16</v>
      </c>
      <c r="H3" s="8" t="s">
        <v>14</v>
      </c>
      <c r="I3" s="8" t="s">
        <v>15</v>
      </c>
      <c r="J3" s="8"/>
    </row>
    <row r="4" spans="1:11" ht="21.75" customHeight="1" x14ac:dyDescent="0.25">
      <c r="A4" s="3" t="s">
        <v>0</v>
      </c>
      <c r="B4" s="2">
        <f>1635</f>
        <v>1635</v>
      </c>
      <c r="C4" s="2"/>
      <c r="D4" s="14"/>
      <c r="E4" s="14"/>
      <c r="F4" s="7" t="s">
        <v>0</v>
      </c>
      <c r="G4" s="8">
        <v>299</v>
      </c>
      <c r="H4" s="8">
        <v>1</v>
      </c>
      <c r="I4" s="8">
        <v>4</v>
      </c>
      <c r="J4" s="8">
        <f>SUM(G4:I4)</f>
        <v>304</v>
      </c>
    </row>
    <row r="5" spans="1:11" ht="21.75" customHeight="1" x14ac:dyDescent="0.25">
      <c r="A5" s="13"/>
      <c r="B5" s="14"/>
      <c r="C5" s="14"/>
      <c r="D5" s="14"/>
      <c r="E5" s="14"/>
      <c r="F5" s="7" t="s">
        <v>17</v>
      </c>
      <c r="G5" s="8">
        <v>1671</v>
      </c>
      <c r="H5" s="8">
        <v>6</v>
      </c>
      <c r="I5" s="8">
        <v>16</v>
      </c>
      <c r="J5" s="8">
        <f t="shared" ref="J5:J12" si="0">SUM(G5:I5)</f>
        <v>1693</v>
      </c>
    </row>
    <row r="6" spans="1:11" ht="21.75" customHeight="1" x14ac:dyDescent="0.3">
      <c r="A6" s="62" t="s">
        <v>25</v>
      </c>
      <c r="B6" s="62"/>
      <c r="C6" s="62"/>
      <c r="D6" s="21"/>
      <c r="E6" s="17"/>
      <c r="F6" s="7" t="s">
        <v>6</v>
      </c>
      <c r="G6" s="8">
        <v>4</v>
      </c>
      <c r="H6" s="8">
        <v>1</v>
      </c>
      <c r="I6" s="8"/>
      <c r="J6" s="8">
        <f t="shared" si="0"/>
        <v>5</v>
      </c>
    </row>
    <row r="7" spans="1:11" ht="21.75" customHeight="1" x14ac:dyDescent="0.25">
      <c r="A7" s="19" t="s">
        <v>1</v>
      </c>
      <c r="B7" s="4">
        <v>2999</v>
      </c>
      <c r="C7" s="4"/>
      <c r="D7" s="4">
        <f>SUM(B7:C7)</f>
        <v>2999</v>
      </c>
      <c r="E7" s="14"/>
      <c r="F7" s="7" t="s">
        <v>8</v>
      </c>
      <c r="G7" s="8">
        <v>37</v>
      </c>
      <c r="H7" s="8"/>
      <c r="I7" s="8"/>
      <c r="J7" s="8">
        <f t="shared" si="0"/>
        <v>37</v>
      </c>
    </row>
    <row r="8" spans="1:11" ht="21.75" customHeight="1" x14ac:dyDescent="0.25">
      <c r="A8" s="19" t="s">
        <v>3</v>
      </c>
      <c r="B8" s="4">
        <v>7</v>
      </c>
      <c r="C8" s="4">
        <v>48</v>
      </c>
      <c r="D8" s="4">
        <f t="shared" ref="D8:D17" si="1">SUM(B8:C8)</f>
        <v>55</v>
      </c>
      <c r="E8" s="14"/>
      <c r="F8" s="7" t="s">
        <v>9</v>
      </c>
      <c r="G8" s="8">
        <v>34</v>
      </c>
      <c r="H8" s="8"/>
      <c r="I8" s="8"/>
      <c r="J8" s="8">
        <f t="shared" si="0"/>
        <v>34</v>
      </c>
    </row>
    <row r="9" spans="1:11" ht="21.75" customHeight="1" x14ac:dyDescent="0.25">
      <c r="A9" s="19" t="s">
        <v>6</v>
      </c>
      <c r="B9" s="4">
        <v>367</v>
      </c>
      <c r="C9" s="4">
        <v>13</v>
      </c>
      <c r="D9" s="4">
        <f t="shared" si="1"/>
        <v>380</v>
      </c>
      <c r="E9" s="14"/>
      <c r="F9" s="7" t="s">
        <v>18</v>
      </c>
      <c r="G9" s="8">
        <v>56</v>
      </c>
      <c r="H9" s="8"/>
      <c r="I9" s="8"/>
      <c r="J9" s="8">
        <f t="shared" si="0"/>
        <v>56</v>
      </c>
    </row>
    <row r="10" spans="1:11" ht="21.75" customHeight="1" x14ac:dyDescent="0.25">
      <c r="A10" s="19" t="s">
        <v>7</v>
      </c>
      <c r="B10" s="4">
        <v>17</v>
      </c>
      <c r="C10" s="4">
        <v>162</v>
      </c>
      <c r="D10" s="4">
        <f t="shared" si="1"/>
        <v>179</v>
      </c>
      <c r="E10" s="14"/>
      <c r="F10" s="7" t="s">
        <v>11</v>
      </c>
      <c r="G10" s="8">
        <v>45</v>
      </c>
      <c r="H10" s="8"/>
      <c r="I10" s="8"/>
      <c r="J10" s="8">
        <f t="shared" si="0"/>
        <v>45</v>
      </c>
    </row>
    <row r="11" spans="1:11" ht="21.75" customHeight="1" x14ac:dyDescent="0.25">
      <c r="A11" s="19" t="s">
        <v>8</v>
      </c>
      <c r="B11" s="4">
        <v>1154</v>
      </c>
      <c r="C11" s="4">
        <v>9</v>
      </c>
      <c r="D11" s="4">
        <f t="shared" si="1"/>
        <v>1163</v>
      </c>
      <c r="E11" s="14"/>
      <c r="F11" s="7" t="s">
        <v>12</v>
      </c>
      <c r="G11" s="8">
        <v>33</v>
      </c>
      <c r="H11" s="8"/>
      <c r="I11" s="8"/>
      <c r="J11" s="8">
        <f t="shared" si="0"/>
        <v>33</v>
      </c>
    </row>
    <row r="12" spans="1:11" ht="21.75" customHeight="1" x14ac:dyDescent="0.25">
      <c r="A12" s="19" t="s">
        <v>9</v>
      </c>
      <c r="B12" s="4">
        <v>273</v>
      </c>
      <c r="C12" s="4">
        <v>6</v>
      </c>
      <c r="D12" s="4">
        <f t="shared" si="1"/>
        <v>279</v>
      </c>
      <c r="E12" s="14"/>
      <c r="F12" s="7" t="s">
        <v>13</v>
      </c>
      <c r="G12" s="8">
        <v>1</v>
      </c>
      <c r="H12" s="8"/>
      <c r="I12" s="8"/>
      <c r="J12" s="8">
        <f t="shared" si="0"/>
        <v>1</v>
      </c>
    </row>
    <row r="13" spans="1:11" ht="21.75" customHeight="1" x14ac:dyDescent="0.25">
      <c r="A13" s="19" t="s">
        <v>10</v>
      </c>
      <c r="B13" s="4">
        <v>444</v>
      </c>
      <c r="C13" s="4">
        <v>13</v>
      </c>
      <c r="D13" s="4">
        <f t="shared" si="1"/>
        <v>457</v>
      </c>
      <c r="E13" s="14"/>
      <c r="F13" s="7"/>
      <c r="G13" s="8">
        <f>SUM(G4:G12)</f>
        <v>2180</v>
      </c>
      <c r="H13" s="8">
        <f>SUM(H4:H12)</f>
        <v>8</v>
      </c>
      <c r="I13" s="8">
        <f>SUM(I4:I12)</f>
        <v>20</v>
      </c>
      <c r="J13" s="8">
        <f>SUM(G13:I13)</f>
        <v>2208</v>
      </c>
    </row>
    <row r="14" spans="1:11" ht="21.75" customHeight="1" x14ac:dyDescent="0.25">
      <c r="A14" s="19" t="s">
        <v>11</v>
      </c>
      <c r="B14" s="4">
        <v>247</v>
      </c>
      <c r="C14" s="4">
        <v>15</v>
      </c>
      <c r="D14" s="4">
        <f t="shared" si="1"/>
        <v>262</v>
      </c>
      <c r="E14" s="14"/>
    </row>
    <row r="15" spans="1:11" ht="21.75" customHeight="1" x14ac:dyDescent="0.3">
      <c r="A15" s="19" t="s">
        <v>12</v>
      </c>
      <c r="B15" s="4">
        <v>681</v>
      </c>
      <c r="C15" s="4">
        <v>10</v>
      </c>
      <c r="D15" s="4">
        <f t="shared" si="1"/>
        <v>691</v>
      </c>
      <c r="E15" s="14"/>
      <c r="F15" s="63" t="s">
        <v>23</v>
      </c>
      <c r="G15" s="63"/>
      <c r="H15" s="63"/>
      <c r="I15" s="63"/>
      <c r="J15" s="63"/>
    </row>
    <row r="16" spans="1:11" ht="21.75" customHeight="1" x14ac:dyDescent="0.25">
      <c r="A16" s="19" t="s">
        <v>13</v>
      </c>
      <c r="B16" s="4">
        <v>30</v>
      </c>
      <c r="C16" s="4"/>
      <c r="D16" s="4">
        <f t="shared" si="1"/>
        <v>30</v>
      </c>
      <c r="E16" s="14"/>
      <c r="F16" s="9"/>
      <c r="G16" s="10" t="s">
        <v>16</v>
      </c>
      <c r="H16" s="10" t="s">
        <v>14</v>
      </c>
      <c r="I16" s="10" t="s">
        <v>15</v>
      </c>
      <c r="J16" s="10"/>
    </row>
    <row r="17" spans="1:10" ht="21.75" customHeight="1" x14ac:dyDescent="0.25">
      <c r="A17" s="20"/>
      <c r="B17" s="5">
        <f>SUM(B7:B16)</f>
        <v>6219</v>
      </c>
      <c r="C17" s="5">
        <f>SUM(C8:C16)</f>
        <v>276</v>
      </c>
      <c r="D17" s="4">
        <f t="shared" si="1"/>
        <v>6495</v>
      </c>
      <c r="E17" s="14"/>
      <c r="F17" s="9" t="s">
        <v>0</v>
      </c>
      <c r="G17" s="10">
        <v>237</v>
      </c>
      <c r="H17" s="10">
        <v>6</v>
      </c>
      <c r="I17" s="10">
        <v>3</v>
      </c>
      <c r="J17" s="10">
        <f>SUM(G17:I17)</f>
        <v>246</v>
      </c>
    </row>
    <row r="18" spans="1:10" ht="21.75" customHeight="1" x14ac:dyDescent="0.25">
      <c r="B18" s="64"/>
      <c r="C18" s="64"/>
      <c r="D18" s="22"/>
      <c r="E18" s="22"/>
      <c r="F18" s="9" t="s">
        <v>17</v>
      </c>
      <c r="G18" s="10">
        <v>1043</v>
      </c>
      <c r="H18" s="10">
        <v>37</v>
      </c>
      <c r="I18" s="10">
        <v>35</v>
      </c>
      <c r="J18" s="10">
        <f>SUM(G18:I18)</f>
        <v>1115</v>
      </c>
    </row>
    <row r="19" spans="1:10" ht="21.75" customHeight="1" x14ac:dyDescent="0.25">
      <c r="A19" s="23" t="s">
        <v>19</v>
      </c>
      <c r="B19" s="56">
        <v>630</v>
      </c>
      <c r="C19" s="56"/>
      <c r="D19" s="14"/>
      <c r="E19" s="14"/>
      <c r="F19" s="9"/>
      <c r="G19" s="10">
        <f>SUM(G17:G18)</f>
        <v>1280</v>
      </c>
      <c r="H19" s="10">
        <f t="shared" ref="H19:I19" si="2">SUM(H17:H18)</f>
        <v>43</v>
      </c>
      <c r="I19" s="10">
        <f t="shared" si="2"/>
        <v>38</v>
      </c>
      <c r="J19" s="10">
        <f>SUM(J17:J18)</f>
        <v>1361</v>
      </c>
    </row>
    <row r="20" spans="1:10" ht="21.75" customHeight="1" x14ac:dyDescent="0.25">
      <c r="A20" s="23" t="s">
        <v>2</v>
      </c>
      <c r="B20" s="56">
        <v>6</v>
      </c>
      <c r="C20" s="56"/>
      <c r="D20" s="14"/>
      <c r="E20" s="14"/>
      <c r="F20" s="13"/>
      <c r="G20" s="14"/>
      <c r="H20" s="14"/>
      <c r="I20" s="14"/>
      <c r="J20" s="14"/>
    </row>
    <row r="21" spans="1:10" ht="21.75" customHeight="1" x14ac:dyDescent="0.3">
      <c r="F21" s="57" t="s">
        <v>20</v>
      </c>
      <c r="G21" s="57"/>
    </row>
    <row r="22" spans="1:10" ht="21.75" customHeight="1" x14ac:dyDescent="0.25">
      <c r="A22" s="3" t="s">
        <v>21</v>
      </c>
      <c r="B22" s="2">
        <f>SUM(B4+D17+B19+B20+J13+J19+G24)</f>
        <v>12395</v>
      </c>
      <c r="F22" s="11" t="s">
        <v>0</v>
      </c>
      <c r="G22" s="12">
        <v>15</v>
      </c>
    </row>
    <row r="23" spans="1:10" ht="21.75" customHeight="1" x14ac:dyDescent="0.25">
      <c r="F23" s="11" t="s">
        <v>17</v>
      </c>
      <c r="G23" s="12">
        <v>45</v>
      </c>
    </row>
    <row r="24" spans="1:10" ht="21.75" customHeight="1" x14ac:dyDescent="0.25">
      <c r="F24" s="1"/>
      <c r="G24" s="12">
        <f>SUM(G22:G23)</f>
        <v>60</v>
      </c>
    </row>
  </sheetData>
  <mergeCells count="9">
    <mergeCell ref="B19:C19"/>
    <mergeCell ref="B20:C20"/>
    <mergeCell ref="F21:G21"/>
    <mergeCell ref="A1:K1"/>
    <mergeCell ref="A2:C2"/>
    <mergeCell ref="F2:J2"/>
    <mergeCell ref="A6:C6"/>
    <mergeCell ref="F15:J15"/>
    <mergeCell ref="B18:C18"/>
  </mergeCells>
  <pageMargins left="0.7" right="0.7" top="0.57999999999999996" bottom="0.75" header="0.3" footer="0.3"/>
  <pageSetup paperSize="9" orientation="landscape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25"/>
  <sheetViews>
    <sheetView workbookViewId="0">
      <selection activeCell="B16" sqref="B16"/>
    </sheetView>
  </sheetViews>
  <sheetFormatPr defaultRowHeight="15" x14ac:dyDescent="0.25"/>
  <cols>
    <col min="1" max="1" width="14.5703125" bestFit="1" customWidth="1"/>
    <col min="2" max="2" width="6.7109375" bestFit="1" customWidth="1"/>
    <col min="3" max="3" width="7.42578125" customWidth="1"/>
    <col min="4" max="4" width="7.140625" customWidth="1"/>
    <col min="5" max="5" width="3.42578125" customWidth="1"/>
    <col min="6" max="6" width="9.140625" customWidth="1"/>
    <col min="7" max="7" width="7.42578125" customWidth="1"/>
    <col min="8" max="8" width="6.85546875" customWidth="1"/>
    <col min="9" max="9" width="7.28515625" customWidth="1"/>
    <col min="10" max="10" width="6.85546875" customWidth="1"/>
    <col min="11" max="11" width="4.28515625" customWidth="1"/>
    <col min="13" max="13" width="7.7109375" customWidth="1"/>
    <col min="14" max="14" width="7.42578125" customWidth="1"/>
    <col min="15" max="15" width="5.85546875" customWidth="1"/>
  </cols>
  <sheetData>
    <row r="1" spans="1:15" ht="23.25" x14ac:dyDescent="0.35">
      <c r="A1" s="58">
        <v>43516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</row>
    <row r="2" spans="1:15" ht="21.75" customHeight="1" x14ac:dyDescent="0.3">
      <c r="A2" s="60" t="s">
        <v>24</v>
      </c>
      <c r="B2" s="60"/>
      <c r="C2" s="60"/>
      <c r="D2" s="16"/>
      <c r="E2" s="16"/>
      <c r="F2" s="61" t="s">
        <v>22</v>
      </c>
      <c r="G2" s="61"/>
      <c r="H2" s="61"/>
      <c r="I2" s="61"/>
      <c r="J2" s="61"/>
      <c r="L2" s="65" t="s">
        <v>26</v>
      </c>
      <c r="M2" s="65"/>
      <c r="N2" s="65"/>
      <c r="O2" s="65"/>
    </row>
    <row r="3" spans="1:15" ht="21.75" customHeight="1" x14ac:dyDescent="0.25">
      <c r="A3" s="3"/>
      <c r="B3" s="2" t="s">
        <v>4</v>
      </c>
      <c r="C3" s="2" t="s">
        <v>5</v>
      </c>
      <c r="D3" s="14"/>
      <c r="E3" s="14"/>
      <c r="F3" s="7"/>
      <c r="G3" s="8" t="s">
        <v>16</v>
      </c>
      <c r="H3" s="8" t="s">
        <v>14</v>
      </c>
      <c r="I3" s="8" t="s">
        <v>15</v>
      </c>
      <c r="J3" s="8"/>
      <c r="L3" s="24"/>
      <c r="M3" s="25" t="s">
        <v>4</v>
      </c>
      <c r="N3" s="25" t="s">
        <v>5</v>
      </c>
      <c r="O3" s="25"/>
    </row>
    <row r="4" spans="1:15" ht="21.75" customHeight="1" x14ac:dyDescent="0.25">
      <c r="A4" s="3" t="s">
        <v>0</v>
      </c>
      <c r="B4" s="2">
        <f>1635+183+29+1+53+40+71+34+10</f>
        <v>2056</v>
      </c>
      <c r="C4" s="2"/>
      <c r="D4" s="14"/>
      <c r="E4" s="14"/>
      <c r="F4" s="7" t="s">
        <v>0</v>
      </c>
      <c r="G4" s="8">
        <f>302+68+1+12+2</f>
        <v>385</v>
      </c>
      <c r="H4" s="8">
        <f>1+1</f>
        <v>2</v>
      </c>
      <c r="I4" s="8">
        <f>4+1</f>
        <v>5</v>
      </c>
      <c r="J4" s="8">
        <f>SUM(G4:I4)</f>
        <v>392</v>
      </c>
      <c r="L4" s="24" t="s">
        <v>0</v>
      </c>
      <c r="M4" s="25">
        <f>55+7+17+11+3</f>
        <v>93</v>
      </c>
      <c r="N4" s="25">
        <v>2</v>
      </c>
      <c r="O4" s="25">
        <f>SUM(M4:N4)</f>
        <v>95</v>
      </c>
    </row>
    <row r="5" spans="1:15" ht="21.75" customHeight="1" x14ac:dyDescent="0.25">
      <c r="A5" s="13"/>
      <c r="B5" s="14"/>
      <c r="C5" s="14"/>
      <c r="D5" s="14"/>
      <c r="E5" s="14"/>
      <c r="F5" s="7" t="s">
        <v>17</v>
      </c>
      <c r="G5" s="8">
        <f>1687+270+6+10+38+9</f>
        <v>2020</v>
      </c>
      <c r="H5" s="8">
        <f>6+2</f>
        <v>8</v>
      </c>
      <c r="I5" s="8">
        <f>16+3</f>
        <v>19</v>
      </c>
      <c r="J5" s="8">
        <f t="shared" ref="J5:J13" si="0">SUM(G5:I5)</f>
        <v>2047</v>
      </c>
      <c r="L5" s="24" t="s">
        <v>17</v>
      </c>
      <c r="M5" s="25">
        <f>41+3+13+5+1</f>
        <v>63</v>
      </c>
      <c r="N5" s="25">
        <f>21+18+8+10</f>
        <v>57</v>
      </c>
      <c r="O5" s="25">
        <f t="shared" ref="O5:O13" si="1">SUM(M5:N5)</f>
        <v>120</v>
      </c>
    </row>
    <row r="6" spans="1:15" ht="21.75" customHeight="1" x14ac:dyDescent="0.3">
      <c r="A6" s="66" t="s">
        <v>25</v>
      </c>
      <c r="B6" s="67"/>
      <c r="C6" s="67"/>
      <c r="D6" s="68"/>
      <c r="E6" s="17"/>
      <c r="F6" s="7" t="s">
        <v>6</v>
      </c>
      <c r="G6" s="8">
        <f>4+1+2+1</f>
        <v>8</v>
      </c>
      <c r="H6" s="8">
        <v>1</v>
      </c>
      <c r="I6" s="8"/>
      <c r="J6" s="8">
        <f t="shared" si="0"/>
        <v>9</v>
      </c>
      <c r="L6" s="24" t="s">
        <v>6</v>
      </c>
      <c r="M6" s="25">
        <v>0</v>
      </c>
      <c r="N6" s="25">
        <f>28+2+13+6+4</f>
        <v>53</v>
      </c>
      <c r="O6" s="25">
        <f t="shared" si="1"/>
        <v>53</v>
      </c>
    </row>
    <row r="7" spans="1:15" ht="21.75" customHeight="1" x14ac:dyDescent="0.3">
      <c r="A7" s="50"/>
      <c r="B7" s="50" t="s">
        <v>4</v>
      </c>
      <c r="C7" s="50" t="s">
        <v>5</v>
      </c>
      <c r="D7" s="50"/>
      <c r="E7" s="17"/>
      <c r="F7" s="7" t="s">
        <v>8</v>
      </c>
      <c r="G7" s="8">
        <f>37+1+4</f>
        <v>42</v>
      </c>
      <c r="H7" s="8"/>
      <c r="I7" s="8"/>
      <c r="J7" s="8">
        <f t="shared" si="0"/>
        <v>42</v>
      </c>
      <c r="L7" s="24" t="s">
        <v>8</v>
      </c>
      <c r="M7" s="25">
        <v>0</v>
      </c>
      <c r="N7" s="25">
        <f>2+1</f>
        <v>3</v>
      </c>
      <c r="O7" s="25">
        <f t="shared" si="1"/>
        <v>3</v>
      </c>
    </row>
    <row r="8" spans="1:15" ht="21.75" customHeight="1" x14ac:dyDescent="0.25">
      <c r="A8" s="19" t="s">
        <v>1</v>
      </c>
      <c r="B8" s="4">
        <f>2999+356+19+137+1+1+77+1+134+46+2+17</f>
        <v>3790</v>
      </c>
      <c r="C8" s="4"/>
      <c r="D8" s="4">
        <f>SUM(B8:C8)</f>
        <v>3790</v>
      </c>
      <c r="E8" s="14"/>
      <c r="F8" s="7" t="s">
        <v>9</v>
      </c>
      <c r="G8" s="8">
        <f>35+8+11+4</f>
        <v>58</v>
      </c>
      <c r="H8" s="8"/>
      <c r="I8" s="8"/>
      <c r="J8" s="8">
        <f t="shared" si="0"/>
        <v>58</v>
      </c>
      <c r="L8" s="24" t="s">
        <v>9</v>
      </c>
      <c r="M8" s="25">
        <v>0</v>
      </c>
      <c r="N8" s="25">
        <f>22+3+7+3+3</f>
        <v>38</v>
      </c>
      <c r="O8" s="25">
        <f t="shared" si="1"/>
        <v>38</v>
      </c>
    </row>
    <row r="9" spans="1:15" ht="21.75" customHeight="1" x14ac:dyDescent="0.25">
      <c r="A9" s="19" t="s">
        <v>3</v>
      </c>
      <c r="B9" s="4">
        <f>7+4</f>
        <v>11</v>
      </c>
      <c r="C9" s="4">
        <f>48+14+3+16+11+11+5+2</f>
        <v>110</v>
      </c>
      <c r="D9" s="4">
        <f t="shared" ref="D9:D18" si="2">SUM(B9:C9)</f>
        <v>121</v>
      </c>
      <c r="E9" s="14"/>
      <c r="F9" s="7" t="s">
        <v>18</v>
      </c>
      <c r="G9" s="8">
        <f>61+8+10+5</f>
        <v>84</v>
      </c>
      <c r="H9" s="8"/>
      <c r="I9" s="8"/>
      <c r="J9" s="8">
        <f t="shared" si="0"/>
        <v>84</v>
      </c>
      <c r="L9" s="24" t="s">
        <v>18</v>
      </c>
      <c r="M9" s="25">
        <v>0</v>
      </c>
      <c r="N9" s="25">
        <f>7+1+2+1+1</f>
        <v>12</v>
      </c>
      <c r="O9" s="25">
        <f t="shared" si="1"/>
        <v>12</v>
      </c>
    </row>
    <row r="10" spans="1:15" ht="21.75" customHeight="1" x14ac:dyDescent="0.25">
      <c r="A10" s="19" t="s">
        <v>6</v>
      </c>
      <c r="B10" s="4">
        <f>367+37+3+37+6+23+8+3</f>
        <v>484</v>
      </c>
      <c r="C10" s="4">
        <f>13+13+2+17+1+1</f>
        <v>47</v>
      </c>
      <c r="D10" s="4">
        <f t="shared" si="2"/>
        <v>531</v>
      </c>
      <c r="E10" s="14"/>
      <c r="F10" s="7" t="s">
        <v>11</v>
      </c>
      <c r="G10" s="8">
        <f>46+7+1+6+1</f>
        <v>61</v>
      </c>
      <c r="H10" s="8"/>
      <c r="I10" s="8"/>
      <c r="J10" s="8">
        <f t="shared" si="0"/>
        <v>61</v>
      </c>
      <c r="L10" s="24" t="s">
        <v>11</v>
      </c>
      <c r="M10" s="25">
        <v>0</v>
      </c>
      <c r="N10" s="25">
        <f>17+1+6+2+5</f>
        <v>31</v>
      </c>
      <c r="O10" s="25">
        <f t="shared" si="1"/>
        <v>31</v>
      </c>
    </row>
    <row r="11" spans="1:15" ht="21.75" customHeight="1" x14ac:dyDescent="0.25">
      <c r="A11" s="19" t="s">
        <v>7</v>
      </c>
      <c r="B11" s="4">
        <f>17+1</f>
        <v>18</v>
      </c>
      <c r="C11" s="4">
        <f>162+21+5+32+8+13+3+2</f>
        <v>246</v>
      </c>
      <c r="D11" s="4">
        <f t="shared" si="2"/>
        <v>264</v>
      </c>
      <c r="E11" s="14"/>
      <c r="F11" s="7" t="s">
        <v>12</v>
      </c>
      <c r="G11" s="8">
        <f>33+5+1</f>
        <v>39</v>
      </c>
      <c r="H11" s="8"/>
      <c r="I11" s="8"/>
      <c r="J11" s="8">
        <f t="shared" si="0"/>
        <v>39</v>
      </c>
      <c r="L11" s="24" t="s">
        <v>12</v>
      </c>
      <c r="M11" s="25">
        <v>0</v>
      </c>
      <c r="N11" s="25">
        <f>1+2+1+2</f>
        <v>6</v>
      </c>
      <c r="O11" s="25">
        <f t="shared" si="1"/>
        <v>6</v>
      </c>
    </row>
    <row r="12" spans="1:15" ht="21.75" customHeight="1" x14ac:dyDescent="0.25">
      <c r="A12" s="19" t="s">
        <v>8</v>
      </c>
      <c r="B12" s="4">
        <f>1154+40+14+11</f>
        <v>1219</v>
      </c>
      <c r="C12" s="4">
        <f>9+136+10+16+4+2</f>
        <v>177</v>
      </c>
      <c r="D12" s="4">
        <f t="shared" si="2"/>
        <v>1396</v>
      </c>
      <c r="E12" s="14"/>
      <c r="F12" s="7" t="s">
        <v>13</v>
      </c>
      <c r="G12" s="8">
        <v>1</v>
      </c>
      <c r="H12" s="8"/>
      <c r="I12" s="8"/>
      <c r="J12" s="8">
        <f t="shared" si="0"/>
        <v>1</v>
      </c>
      <c r="L12" s="24" t="s">
        <v>13</v>
      </c>
      <c r="M12" s="25">
        <v>0</v>
      </c>
      <c r="N12" s="25">
        <v>0</v>
      </c>
      <c r="O12" s="25">
        <f t="shared" si="1"/>
        <v>0</v>
      </c>
    </row>
    <row r="13" spans="1:15" ht="21.75" customHeight="1" x14ac:dyDescent="0.25">
      <c r="A13" s="19" t="s">
        <v>9</v>
      </c>
      <c r="B13" s="4">
        <f>273+48+4+34+10+14+4+1</f>
        <v>388</v>
      </c>
      <c r="C13" s="4">
        <f>6+12+2+6+2+1+1</f>
        <v>30</v>
      </c>
      <c r="D13" s="4">
        <f t="shared" si="2"/>
        <v>418</v>
      </c>
      <c r="E13" s="14"/>
      <c r="F13" s="7"/>
      <c r="G13" s="8">
        <f>SUM(G4:G12)</f>
        <v>2698</v>
      </c>
      <c r="H13" s="8">
        <f>SUM(H4:H12)</f>
        <v>11</v>
      </c>
      <c r="I13" s="8">
        <f>SUM(I4:I12)</f>
        <v>24</v>
      </c>
      <c r="J13" s="8">
        <f t="shared" si="0"/>
        <v>2733</v>
      </c>
      <c r="L13" s="24"/>
      <c r="M13" s="25">
        <f>SUM(M4:M12)</f>
        <v>156</v>
      </c>
      <c r="N13" s="25">
        <f>SUM(N4:N12)</f>
        <v>202</v>
      </c>
      <c r="O13" s="25">
        <f t="shared" si="1"/>
        <v>358</v>
      </c>
    </row>
    <row r="14" spans="1:15" ht="21.75" customHeight="1" x14ac:dyDescent="0.25">
      <c r="A14" s="19" t="s">
        <v>10</v>
      </c>
      <c r="B14" s="4">
        <f>444+14+1+1+5+14+3+2</f>
        <v>484</v>
      </c>
      <c r="C14" s="4">
        <f>13+59+8+9+2+5+2+3</f>
        <v>101</v>
      </c>
      <c r="D14" s="4">
        <f t="shared" si="2"/>
        <v>585</v>
      </c>
      <c r="E14" s="14"/>
      <c r="L14" s="13"/>
      <c r="M14" s="14"/>
      <c r="N14" s="14"/>
      <c r="O14" s="14"/>
    </row>
    <row r="15" spans="1:15" ht="21.75" customHeight="1" x14ac:dyDescent="0.3">
      <c r="A15" s="19" t="s">
        <v>11</v>
      </c>
      <c r="B15" s="4">
        <f>247+51+5+22+3+11+6+4</f>
        <v>349</v>
      </c>
      <c r="C15" s="4">
        <f>15+8+2+15+9+7+4+2</f>
        <v>62</v>
      </c>
      <c r="D15" s="4">
        <f t="shared" si="2"/>
        <v>411</v>
      </c>
      <c r="E15" s="14"/>
      <c r="F15" s="69" t="s">
        <v>23</v>
      </c>
      <c r="G15" s="70"/>
      <c r="H15" s="70"/>
      <c r="I15" s="70"/>
      <c r="J15" s="71"/>
    </row>
    <row r="16" spans="1:15" ht="21.75" customHeight="1" x14ac:dyDescent="0.25">
      <c r="A16" s="19" t="s">
        <v>12</v>
      </c>
      <c r="B16" s="4">
        <f>681+11+4+9+5+3</f>
        <v>713</v>
      </c>
      <c r="C16" s="4">
        <f>10+83+14+27+3+3</f>
        <v>140</v>
      </c>
      <c r="D16" s="4">
        <f t="shared" si="2"/>
        <v>853</v>
      </c>
      <c r="E16" s="14"/>
      <c r="F16" s="9"/>
      <c r="G16" s="10" t="s">
        <v>16</v>
      </c>
      <c r="H16" s="10" t="s">
        <v>14</v>
      </c>
      <c r="I16" s="10" t="s">
        <v>15</v>
      </c>
      <c r="J16" s="10"/>
    </row>
    <row r="17" spans="1:10" ht="21.75" customHeight="1" x14ac:dyDescent="0.25">
      <c r="A17" s="19" t="s">
        <v>13</v>
      </c>
      <c r="B17" s="4">
        <f>30+1+2</f>
        <v>33</v>
      </c>
      <c r="C17" s="4">
        <f>0+4+2+1+1</f>
        <v>8</v>
      </c>
      <c r="D17" s="4">
        <f t="shared" si="2"/>
        <v>41</v>
      </c>
      <c r="E17" s="14"/>
      <c r="F17" s="9" t="s">
        <v>0</v>
      </c>
      <c r="G17" s="10">
        <f>241+399+75+16+6</f>
        <v>737</v>
      </c>
      <c r="H17" s="10">
        <v>6</v>
      </c>
      <c r="I17" s="10">
        <f>3+9+1</f>
        <v>13</v>
      </c>
      <c r="J17" s="10">
        <f>SUM(G17:I17)</f>
        <v>756</v>
      </c>
    </row>
    <row r="18" spans="1:10" ht="21.75" customHeight="1" x14ac:dyDescent="0.25">
      <c r="A18" s="20"/>
      <c r="B18" s="5">
        <f>SUM(B8:B17)</f>
        <v>7489</v>
      </c>
      <c r="C18" s="5">
        <f>SUM(C9:C17)</f>
        <v>921</v>
      </c>
      <c r="D18" s="4">
        <f t="shared" si="2"/>
        <v>8410</v>
      </c>
      <c r="E18" s="14"/>
      <c r="F18" s="9" t="s">
        <v>17</v>
      </c>
      <c r="G18" s="10">
        <f>1051+2019+977+826+115+28</f>
        <v>5016</v>
      </c>
      <c r="H18" s="10">
        <f>38+12</f>
        <v>50</v>
      </c>
      <c r="I18" s="10">
        <f>35+11</f>
        <v>46</v>
      </c>
      <c r="J18" s="10">
        <f>SUM(G18:I18)</f>
        <v>5112</v>
      </c>
    </row>
    <row r="19" spans="1:10" ht="21.75" customHeight="1" x14ac:dyDescent="0.25">
      <c r="B19" s="64"/>
      <c r="C19" s="64"/>
      <c r="D19" s="51"/>
      <c r="E19" s="51"/>
      <c r="F19" s="9"/>
      <c r="G19" s="10">
        <f>SUM(G17:G18)</f>
        <v>5753</v>
      </c>
      <c r="H19" s="10">
        <f t="shared" ref="H19:I19" si="3">SUM(H17:H18)</f>
        <v>56</v>
      </c>
      <c r="I19" s="10">
        <f t="shared" si="3"/>
        <v>59</v>
      </c>
      <c r="J19" s="10">
        <f>SUM(J17:J18)</f>
        <v>5868</v>
      </c>
    </row>
    <row r="20" spans="1:10" ht="21.75" customHeight="1" x14ac:dyDescent="0.25">
      <c r="A20" s="48" t="s">
        <v>19</v>
      </c>
      <c r="B20" s="56">
        <f>630+7+349+122+62+25</f>
        <v>1195</v>
      </c>
      <c r="C20" s="56"/>
      <c r="D20" s="14"/>
      <c r="E20" s="14"/>
      <c r="F20" s="13"/>
      <c r="G20" s="14"/>
      <c r="H20" s="14"/>
      <c r="I20" s="14"/>
      <c r="J20" s="14"/>
    </row>
    <row r="21" spans="1:10" ht="21.75" customHeight="1" x14ac:dyDescent="0.3">
      <c r="A21" s="48" t="s">
        <v>2</v>
      </c>
      <c r="B21" s="56">
        <f>6+8+3+1+1</f>
        <v>19</v>
      </c>
      <c r="C21" s="56"/>
      <c r="D21" s="14"/>
      <c r="E21" s="14"/>
      <c r="F21" s="49" t="s">
        <v>20</v>
      </c>
      <c r="G21" s="49"/>
    </row>
    <row r="22" spans="1:10" ht="21.75" customHeight="1" x14ac:dyDescent="0.25">
      <c r="F22" s="11" t="s">
        <v>0</v>
      </c>
      <c r="G22" s="12">
        <f>15+6</f>
        <v>21</v>
      </c>
    </row>
    <row r="23" spans="1:10" ht="21.75" customHeight="1" x14ac:dyDescent="0.25">
      <c r="A23" s="3" t="s">
        <v>21</v>
      </c>
      <c r="B23" s="2">
        <f>SUM(B4+D18+B20+B21+J13+J19+G24+O13)</f>
        <v>20712</v>
      </c>
      <c r="F23" s="11" t="s">
        <v>17</v>
      </c>
      <c r="G23" s="12">
        <f>46+6</f>
        <v>52</v>
      </c>
    </row>
    <row r="24" spans="1:10" ht="21.75" customHeight="1" x14ac:dyDescent="0.25">
      <c r="F24" s="11"/>
      <c r="G24" s="12">
        <f>SUM(G22:G23)</f>
        <v>73</v>
      </c>
    </row>
    <row r="25" spans="1:10" ht="21.75" customHeight="1" x14ac:dyDescent="0.25"/>
  </sheetData>
  <mergeCells count="9">
    <mergeCell ref="B19:C19"/>
    <mergeCell ref="B20:C20"/>
    <mergeCell ref="B21:C21"/>
    <mergeCell ref="A1:O1"/>
    <mergeCell ref="A2:C2"/>
    <mergeCell ref="F2:J2"/>
    <mergeCell ref="L2:O2"/>
    <mergeCell ref="A6:D6"/>
    <mergeCell ref="F15:J15"/>
  </mergeCells>
  <pageMargins left="0.7" right="0.7" top="0.4" bottom="0.57999999999999996" header="0.3" footer="0.3"/>
  <pageSetup paperSize="9" orientation="landscape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25"/>
  <sheetViews>
    <sheetView workbookViewId="0">
      <selection sqref="A1:O1"/>
    </sheetView>
  </sheetViews>
  <sheetFormatPr defaultRowHeight="15" x14ac:dyDescent="0.25"/>
  <cols>
    <col min="1" max="1" width="14.5703125" bestFit="1" customWidth="1"/>
    <col min="2" max="2" width="6.7109375" bestFit="1" customWidth="1"/>
    <col min="3" max="3" width="7.42578125" customWidth="1"/>
    <col min="4" max="4" width="7.140625" customWidth="1"/>
    <col min="5" max="5" width="3.42578125" customWidth="1"/>
    <col min="6" max="6" width="9.140625" customWidth="1"/>
    <col min="7" max="7" width="7.42578125" customWidth="1"/>
    <col min="8" max="8" width="6.85546875" customWidth="1"/>
    <col min="9" max="9" width="7.28515625" customWidth="1"/>
    <col min="10" max="10" width="6.85546875" customWidth="1"/>
    <col min="11" max="11" width="4.28515625" customWidth="1"/>
    <col min="13" max="13" width="7.7109375" customWidth="1"/>
    <col min="14" max="14" width="7.42578125" customWidth="1"/>
    <col min="15" max="15" width="5.85546875" customWidth="1"/>
  </cols>
  <sheetData>
    <row r="1" spans="1:15" ht="23.25" x14ac:dyDescent="0.35">
      <c r="A1" s="58">
        <v>43522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</row>
    <row r="2" spans="1:15" ht="21.75" customHeight="1" x14ac:dyDescent="0.3">
      <c r="A2" s="60" t="s">
        <v>24</v>
      </c>
      <c r="B2" s="60"/>
      <c r="C2" s="60"/>
      <c r="D2" s="16"/>
      <c r="E2" s="16"/>
      <c r="F2" s="61" t="s">
        <v>22</v>
      </c>
      <c r="G2" s="61"/>
      <c r="H2" s="61"/>
      <c r="I2" s="61"/>
      <c r="J2" s="61"/>
      <c r="L2" s="65" t="s">
        <v>26</v>
      </c>
      <c r="M2" s="65"/>
      <c r="N2" s="65"/>
      <c r="O2" s="65"/>
    </row>
    <row r="3" spans="1:15" ht="21.75" customHeight="1" x14ac:dyDescent="0.25">
      <c r="A3" s="3"/>
      <c r="B3" s="2" t="s">
        <v>4</v>
      </c>
      <c r="C3" s="2" t="s">
        <v>5</v>
      </c>
      <c r="D3" s="14"/>
      <c r="E3" s="14"/>
      <c r="F3" s="7"/>
      <c r="G3" s="8" t="s">
        <v>16</v>
      </c>
      <c r="H3" s="8" t="s">
        <v>14</v>
      </c>
      <c r="I3" s="8" t="s">
        <v>15</v>
      </c>
      <c r="J3" s="8"/>
      <c r="L3" s="24"/>
      <c r="M3" s="25" t="s">
        <v>4</v>
      </c>
      <c r="N3" s="25" t="s">
        <v>5</v>
      </c>
      <c r="O3" s="25"/>
    </row>
    <row r="4" spans="1:15" ht="21.75" customHeight="1" x14ac:dyDescent="0.25">
      <c r="A4" s="3" t="s">
        <v>0</v>
      </c>
      <c r="B4" s="2">
        <f>1635+183+29+1+53+40+71+34+10+33</f>
        <v>2089</v>
      </c>
      <c r="C4" s="2"/>
      <c r="D4" s="14"/>
      <c r="E4" s="14"/>
      <c r="F4" s="7" t="s">
        <v>0</v>
      </c>
      <c r="G4" s="8">
        <f>302+68+1+12+2+5</f>
        <v>390</v>
      </c>
      <c r="H4" s="8">
        <f>1+1</f>
        <v>2</v>
      </c>
      <c r="I4" s="8">
        <f>4+1</f>
        <v>5</v>
      </c>
      <c r="J4" s="8">
        <f>SUM(G4:I4)</f>
        <v>397</v>
      </c>
      <c r="L4" s="24" t="s">
        <v>0</v>
      </c>
      <c r="M4" s="25">
        <f>55+7+17+11+3+6</f>
        <v>99</v>
      </c>
      <c r="N4" s="25">
        <v>2</v>
      </c>
      <c r="O4" s="25">
        <f>SUM(M4:N4)</f>
        <v>101</v>
      </c>
    </row>
    <row r="5" spans="1:15" ht="21.75" customHeight="1" x14ac:dyDescent="0.25">
      <c r="A5" s="13"/>
      <c r="B5" s="14"/>
      <c r="C5" s="14"/>
      <c r="D5" s="14"/>
      <c r="E5" s="14"/>
      <c r="F5" s="7" t="s">
        <v>17</v>
      </c>
      <c r="G5" s="8">
        <f>1687+270+6+10+38+9+26</f>
        <v>2046</v>
      </c>
      <c r="H5" s="8">
        <f>6+2</f>
        <v>8</v>
      </c>
      <c r="I5" s="8">
        <f>16+3</f>
        <v>19</v>
      </c>
      <c r="J5" s="8">
        <f t="shared" ref="J5:J13" si="0">SUM(G5:I5)</f>
        <v>2073</v>
      </c>
      <c r="L5" s="24" t="s">
        <v>17</v>
      </c>
      <c r="M5" s="25">
        <f>41+3+13+5+1+8</f>
        <v>71</v>
      </c>
      <c r="N5" s="25">
        <f>21+18+8+10+12</f>
        <v>69</v>
      </c>
      <c r="O5" s="25">
        <f t="shared" ref="O5:O13" si="1">SUM(M5:N5)</f>
        <v>140</v>
      </c>
    </row>
    <row r="6" spans="1:15" ht="21.75" customHeight="1" x14ac:dyDescent="0.3">
      <c r="A6" s="66" t="s">
        <v>25</v>
      </c>
      <c r="B6" s="67"/>
      <c r="C6" s="67"/>
      <c r="D6" s="68"/>
      <c r="E6" s="17"/>
      <c r="F6" s="7" t="s">
        <v>6</v>
      </c>
      <c r="G6" s="8">
        <f>4+1+2+1</f>
        <v>8</v>
      </c>
      <c r="H6" s="8">
        <v>1</v>
      </c>
      <c r="I6" s="8"/>
      <c r="J6" s="8">
        <f t="shared" si="0"/>
        <v>9</v>
      </c>
      <c r="L6" s="24" t="s">
        <v>6</v>
      </c>
      <c r="M6" s="25">
        <v>0</v>
      </c>
      <c r="N6" s="25">
        <f>28+2+13+6+4+9</f>
        <v>62</v>
      </c>
      <c r="O6" s="25">
        <f t="shared" si="1"/>
        <v>62</v>
      </c>
    </row>
    <row r="7" spans="1:15" ht="21.75" customHeight="1" x14ac:dyDescent="0.3">
      <c r="A7" s="50"/>
      <c r="B7" s="50" t="s">
        <v>4</v>
      </c>
      <c r="C7" s="50" t="s">
        <v>5</v>
      </c>
      <c r="D7" s="50"/>
      <c r="E7" s="17"/>
      <c r="F7" s="7" t="s">
        <v>8</v>
      </c>
      <c r="G7" s="8">
        <f>37+1+4+1</f>
        <v>43</v>
      </c>
      <c r="H7" s="8"/>
      <c r="I7" s="8"/>
      <c r="J7" s="8">
        <f t="shared" si="0"/>
        <v>43</v>
      </c>
      <c r="L7" s="24" t="s">
        <v>8</v>
      </c>
      <c r="M7" s="25">
        <v>0</v>
      </c>
      <c r="N7" s="25">
        <f>2+1</f>
        <v>3</v>
      </c>
      <c r="O7" s="25">
        <f t="shared" si="1"/>
        <v>3</v>
      </c>
    </row>
    <row r="8" spans="1:15" ht="21.75" customHeight="1" x14ac:dyDescent="0.25">
      <c r="A8" s="19" t="s">
        <v>1</v>
      </c>
      <c r="B8" s="4">
        <f>2999+356+19+137+1+1+77+1+134+46+2+17+124</f>
        <v>3914</v>
      </c>
      <c r="C8" s="4"/>
      <c r="D8" s="4">
        <f>SUM(B8:C8)</f>
        <v>3914</v>
      </c>
      <c r="E8" s="14"/>
      <c r="F8" s="7" t="s">
        <v>9</v>
      </c>
      <c r="G8" s="8">
        <f>35+8+11+4+1</f>
        <v>59</v>
      </c>
      <c r="H8" s="8"/>
      <c r="I8" s="8"/>
      <c r="J8" s="8">
        <f t="shared" si="0"/>
        <v>59</v>
      </c>
      <c r="L8" s="24" t="s">
        <v>9</v>
      </c>
      <c r="M8" s="25">
        <v>0</v>
      </c>
      <c r="N8" s="25">
        <f>22+3+7+3+3+5</f>
        <v>43</v>
      </c>
      <c r="O8" s="25">
        <f t="shared" si="1"/>
        <v>43</v>
      </c>
    </row>
    <row r="9" spans="1:15" ht="21.75" customHeight="1" x14ac:dyDescent="0.25">
      <c r="A9" s="19" t="s">
        <v>3</v>
      </c>
      <c r="B9" s="4">
        <f>7+4</f>
        <v>11</v>
      </c>
      <c r="C9" s="4">
        <f>48+14+3+16+11+11+5+2+2</f>
        <v>112</v>
      </c>
      <c r="D9" s="4">
        <f t="shared" ref="D9:D18" si="2">SUM(B9:C9)</f>
        <v>123</v>
      </c>
      <c r="E9" s="14"/>
      <c r="F9" s="7" t="s">
        <v>18</v>
      </c>
      <c r="G9" s="8">
        <f>61+8+10+5+2</f>
        <v>86</v>
      </c>
      <c r="H9" s="8"/>
      <c r="I9" s="8"/>
      <c r="J9" s="8">
        <f t="shared" si="0"/>
        <v>86</v>
      </c>
      <c r="L9" s="24" t="s">
        <v>18</v>
      </c>
      <c r="M9" s="25">
        <v>0</v>
      </c>
      <c r="N9" s="25">
        <f>7+1+2+1+1+1</f>
        <v>13</v>
      </c>
      <c r="O9" s="25">
        <f t="shared" si="1"/>
        <v>13</v>
      </c>
    </row>
    <row r="10" spans="1:15" ht="21.75" customHeight="1" x14ac:dyDescent="0.25">
      <c r="A10" s="19" t="s">
        <v>6</v>
      </c>
      <c r="B10" s="4">
        <f>367+37+3+37+6+23+8+3+25</f>
        <v>509</v>
      </c>
      <c r="C10" s="4">
        <f>13+13+2+17+1+1+4</f>
        <v>51</v>
      </c>
      <c r="D10" s="4">
        <f t="shared" si="2"/>
        <v>560</v>
      </c>
      <c r="E10" s="14"/>
      <c r="F10" s="7" t="s">
        <v>11</v>
      </c>
      <c r="G10" s="8">
        <f>46+7+1+6+1</f>
        <v>61</v>
      </c>
      <c r="H10" s="8"/>
      <c r="I10" s="8"/>
      <c r="J10" s="8">
        <f t="shared" si="0"/>
        <v>61</v>
      </c>
      <c r="L10" s="24" t="s">
        <v>11</v>
      </c>
      <c r="M10" s="25">
        <v>0</v>
      </c>
      <c r="N10" s="25">
        <f>17+1+6+2+5+5</f>
        <v>36</v>
      </c>
      <c r="O10" s="25">
        <f t="shared" si="1"/>
        <v>36</v>
      </c>
    </row>
    <row r="11" spans="1:15" ht="21.75" customHeight="1" x14ac:dyDescent="0.25">
      <c r="A11" s="19" t="s">
        <v>7</v>
      </c>
      <c r="B11" s="4">
        <f>17+1</f>
        <v>18</v>
      </c>
      <c r="C11" s="4">
        <f>162+21+5+32+8+13+3+2+9</f>
        <v>255</v>
      </c>
      <c r="D11" s="4">
        <f t="shared" si="2"/>
        <v>273</v>
      </c>
      <c r="E11" s="14"/>
      <c r="F11" s="7" t="s">
        <v>12</v>
      </c>
      <c r="G11" s="8">
        <f>33+5+1</f>
        <v>39</v>
      </c>
      <c r="H11" s="8"/>
      <c r="I11" s="8"/>
      <c r="J11" s="8">
        <f t="shared" si="0"/>
        <v>39</v>
      </c>
      <c r="L11" s="24" t="s">
        <v>12</v>
      </c>
      <c r="M11" s="25">
        <v>0</v>
      </c>
      <c r="N11" s="25">
        <f>1+2+1+2</f>
        <v>6</v>
      </c>
      <c r="O11" s="25">
        <f t="shared" si="1"/>
        <v>6</v>
      </c>
    </row>
    <row r="12" spans="1:15" ht="21.75" customHeight="1" x14ac:dyDescent="0.25">
      <c r="A12" s="19" t="s">
        <v>8</v>
      </c>
      <c r="B12" s="4">
        <f>1154+40+14+11+5</f>
        <v>1224</v>
      </c>
      <c r="C12" s="4">
        <f>9+136+10+16+4+2+2</f>
        <v>179</v>
      </c>
      <c r="D12" s="4">
        <f t="shared" si="2"/>
        <v>1403</v>
      </c>
      <c r="E12" s="14"/>
      <c r="F12" s="7" t="s">
        <v>13</v>
      </c>
      <c r="G12" s="8">
        <v>1</v>
      </c>
      <c r="H12" s="8"/>
      <c r="I12" s="8"/>
      <c r="J12" s="8">
        <f t="shared" si="0"/>
        <v>1</v>
      </c>
      <c r="L12" s="24" t="s">
        <v>13</v>
      </c>
      <c r="M12" s="25">
        <v>0</v>
      </c>
      <c r="N12" s="25">
        <v>0</v>
      </c>
      <c r="O12" s="25">
        <f t="shared" si="1"/>
        <v>0</v>
      </c>
    </row>
    <row r="13" spans="1:15" ht="21.75" customHeight="1" x14ac:dyDescent="0.25">
      <c r="A13" s="19" t="s">
        <v>9</v>
      </c>
      <c r="B13" s="4">
        <f>273+48+4+34+10+14+4+1+21</f>
        <v>409</v>
      </c>
      <c r="C13" s="4">
        <f>6+12+2+6+2+1+1</f>
        <v>30</v>
      </c>
      <c r="D13" s="4">
        <f t="shared" si="2"/>
        <v>439</v>
      </c>
      <c r="E13" s="14"/>
      <c r="F13" s="7"/>
      <c r="G13" s="8">
        <f>SUM(G4:G12)</f>
        <v>2733</v>
      </c>
      <c r="H13" s="8">
        <f>SUM(H4:H12)</f>
        <v>11</v>
      </c>
      <c r="I13" s="8">
        <f>SUM(I4:I12)</f>
        <v>24</v>
      </c>
      <c r="J13" s="8">
        <f t="shared" si="0"/>
        <v>2768</v>
      </c>
      <c r="L13" s="24"/>
      <c r="M13" s="25">
        <f>SUM(M4:M12)</f>
        <v>170</v>
      </c>
      <c r="N13" s="25">
        <f>SUM(N4:N12)</f>
        <v>234</v>
      </c>
      <c r="O13" s="25">
        <f t="shared" si="1"/>
        <v>404</v>
      </c>
    </row>
    <row r="14" spans="1:15" ht="21.75" customHeight="1" x14ac:dyDescent="0.25">
      <c r="A14" s="19" t="s">
        <v>10</v>
      </c>
      <c r="B14" s="4">
        <f>444+14+1+1+5+14+3+2+8</f>
        <v>492</v>
      </c>
      <c r="C14" s="4">
        <f>13+59+8+9+2+5+2+3+5</f>
        <v>106</v>
      </c>
      <c r="D14" s="4">
        <f t="shared" si="2"/>
        <v>598</v>
      </c>
      <c r="E14" s="14"/>
      <c r="L14" s="13"/>
      <c r="M14" s="14"/>
      <c r="N14" s="14"/>
      <c r="O14" s="14"/>
    </row>
    <row r="15" spans="1:15" ht="21.75" customHeight="1" x14ac:dyDescent="0.3">
      <c r="A15" s="19" t="s">
        <v>11</v>
      </c>
      <c r="B15" s="4">
        <f>247+51+5+22+3+11+6+4+11</f>
        <v>360</v>
      </c>
      <c r="C15" s="4">
        <f>15+8+2+15+9+7+4+2+4</f>
        <v>66</v>
      </c>
      <c r="D15" s="4">
        <f t="shared" si="2"/>
        <v>426</v>
      </c>
      <c r="E15" s="14"/>
      <c r="F15" s="69" t="s">
        <v>23</v>
      </c>
      <c r="G15" s="70"/>
      <c r="H15" s="70"/>
      <c r="I15" s="70"/>
      <c r="J15" s="71"/>
    </row>
    <row r="16" spans="1:15" ht="21.75" customHeight="1" x14ac:dyDescent="0.25">
      <c r="A16" s="19" t="s">
        <v>12</v>
      </c>
      <c r="B16" s="4">
        <f>681+11+4+9+5+3+6</f>
        <v>719</v>
      </c>
      <c r="C16" s="4">
        <f>10+83+14+27+3+3+3</f>
        <v>143</v>
      </c>
      <c r="D16" s="4">
        <f t="shared" si="2"/>
        <v>862</v>
      </c>
      <c r="E16" s="14"/>
      <c r="F16" s="9"/>
      <c r="G16" s="10" t="s">
        <v>16</v>
      </c>
      <c r="H16" s="10" t="s">
        <v>14</v>
      </c>
      <c r="I16" s="10" t="s">
        <v>15</v>
      </c>
      <c r="J16" s="10"/>
    </row>
    <row r="17" spans="1:10" ht="21.75" customHeight="1" x14ac:dyDescent="0.25">
      <c r="A17" s="19" t="s">
        <v>13</v>
      </c>
      <c r="B17" s="4">
        <f>30+1+2+1</f>
        <v>34</v>
      </c>
      <c r="C17" s="4">
        <f>0+4+2+1+1</f>
        <v>8</v>
      </c>
      <c r="D17" s="4">
        <f t="shared" si="2"/>
        <v>42</v>
      </c>
      <c r="E17" s="14"/>
      <c r="F17" s="9" t="s">
        <v>0</v>
      </c>
      <c r="G17" s="10">
        <f>241+399+75+16+6+5</f>
        <v>742</v>
      </c>
      <c r="H17" s="10">
        <v>6</v>
      </c>
      <c r="I17" s="10">
        <f>3+9+1</f>
        <v>13</v>
      </c>
      <c r="J17" s="10">
        <f>SUM(G17:I17)</f>
        <v>761</v>
      </c>
    </row>
    <row r="18" spans="1:10" ht="21.75" customHeight="1" x14ac:dyDescent="0.25">
      <c r="A18" s="20"/>
      <c r="B18" s="5">
        <f>SUM(B8:B17)</f>
        <v>7690</v>
      </c>
      <c r="C18" s="5">
        <f>SUM(C9:C17)</f>
        <v>950</v>
      </c>
      <c r="D18" s="4">
        <f t="shared" si="2"/>
        <v>8640</v>
      </c>
      <c r="E18" s="14"/>
      <c r="F18" s="9" t="s">
        <v>17</v>
      </c>
      <c r="G18" s="10">
        <f>1051+2019+977+826+115+28+25</f>
        <v>5041</v>
      </c>
      <c r="H18" s="10">
        <f>38+12</f>
        <v>50</v>
      </c>
      <c r="I18" s="10">
        <f>35+11</f>
        <v>46</v>
      </c>
      <c r="J18" s="10">
        <f>SUM(G18:I18)</f>
        <v>5137</v>
      </c>
    </row>
    <row r="19" spans="1:10" ht="21.75" customHeight="1" x14ac:dyDescent="0.25">
      <c r="B19" s="64"/>
      <c r="C19" s="64"/>
      <c r="D19" s="51"/>
      <c r="E19" s="51"/>
      <c r="F19" s="9"/>
      <c r="G19" s="10">
        <f>SUM(G17:G18)</f>
        <v>5783</v>
      </c>
      <c r="H19" s="10">
        <f t="shared" ref="H19:I19" si="3">SUM(H17:H18)</f>
        <v>56</v>
      </c>
      <c r="I19" s="10">
        <f t="shared" si="3"/>
        <v>59</v>
      </c>
      <c r="J19" s="10">
        <f>SUM(J17:J18)</f>
        <v>5898</v>
      </c>
    </row>
    <row r="20" spans="1:10" ht="21.75" customHeight="1" x14ac:dyDescent="0.25">
      <c r="A20" s="48" t="s">
        <v>19</v>
      </c>
      <c r="B20" s="56">
        <f>630+7+349+122+62+25+25</f>
        <v>1220</v>
      </c>
      <c r="C20" s="56"/>
      <c r="D20" s="14"/>
      <c r="E20" s="14"/>
      <c r="F20" s="13"/>
      <c r="G20" s="14"/>
      <c r="H20" s="14"/>
      <c r="I20" s="14"/>
      <c r="J20" s="14"/>
    </row>
    <row r="21" spans="1:10" ht="21.75" customHeight="1" x14ac:dyDescent="0.3">
      <c r="A21" s="48" t="s">
        <v>2</v>
      </c>
      <c r="B21" s="56">
        <f>6+8+3+1+1+1</f>
        <v>20</v>
      </c>
      <c r="C21" s="56"/>
      <c r="D21" s="14"/>
      <c r="E21" s="14"/>
      <c r="F21" s="49" t="s">
        <v>20</v>
      </c>
      <c r="G21" s="49"/>
    </row>
    <row r="22" spans="1:10" ht="21.75" customHeight="1" x14ac:dyDescent="0.25">
      <c r="F22" s="11" t="s">
        <v>0</v>
      </c>
      <c r="G22" s="12">
        <f>15+6</f>
        <v>21</v>
      </c>
    </row>
    <row r="23" spans="1:10" ht="21.75" customHeight="1" x14ac:dyDescent="0.25">
      <c r="A23" s="3" t="s">
        <v>21</v>
      </c>
      <c r="B23" s="2">
        <f>SUM(B4+D18+B20+B21+J13+J19+G24+O13)</f>
        <v>21112</v>
      </c>
      <c r="F23" s="11" t="s">
        <v>17</v>
      </c>
      <c r="G23" s="12">
        <f>46+6</f>
        <v>52</v>
      </c>
    </row>
    <row r="24" spans="1:10" ht="21.75" customHeight="1" x14ac:dyDescent="0.25">
      <c r="F24" s="11"/>
      <c r="G24" s="12">
        <f>SUM(G22:G23)</f>
        <v>73</v>
      </c>
    </row>
    <row r="25" spans="1:10" ht="21.75" customHeight="1" x14ac:dyDescent="0.25"/>
  </sheetData>
  <mergeCells count="9">
    <mergeCell ref="B19:C19"/>
    <mergeCell ref="B20:C20"/>
    <mergeCell ref="B21:C21"/>
    <mergeCell ref="A1:O1"/>
    <mergeCell ref="A2:C2"/>
    <mergeCell ref="F2:J2"/>
    <mergeCell ref="L2:O2"/>
    <mergeCell ref="A6:D6"/>
    <mergeCell ref="F15:J15"/>
  </mergeCells>
  <pageMargins left="0.7" right="0.7" top="0.4" bottom="0.57999999999999996" header="0.3" footer="0.3"/>
  <pageSetup paperSize="9" orientation="landscape"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25"/>
  <sheetViews>
    <sheetView topLeftCell="A6" workbookViewId="0">
      <selection activeCell="M17" sqref="M17"/>
    </sheetView>
  </sheetViews>
  <sheetFormatPr defaultRowHeight="15" x14ac:dyDescent="0.25"/>
  <cols>
    <col min="1" max="1" width="14.5703125" bestFit="1" customWidth="1"/>
    <col min="2" max="2" width="6.7109375" bestFit="1" customWidth="1"/>
    <col min="3" max="3" width="7.42578125" customWidth="1"/>
    <col min="4" max="4" width="7.140625" customWidth="1"/>
    <col min="5" max="5" width="3.42578125" customWidth="1"/>
    <col min="6" max="6" width="9.140625" customWidth="1"/>
    <col min="7" max="7" width="7.42578125" customWidth="1"/>
    <col min="8" max="8" width="6.85546875" customWidth="1"/>
    <col min="9" max="9" width="7.28515625" customWidth="1"/>
    <col min="10" max="10" width="6.85546875" customWidth="1"/>
    <col min="11" max="11" width="4.28515625" customWidth="1"/>
    <col min="13" max="13" width="7.7109375" customWidth="1"/>
    <col min="14" max="14" width="7.42578125" customWidth="1"/>
    <col min="15" max="15" width="5.85546875" customWidth="1"/>
  </cols>
  <sheetData>
    <row r="1" spans="1:15" ht="23.25" x14ac:dyDescent="0.35">
      <c r="A1" s="58">
        <v>43531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</row>
    <row r="2" spans="1:15" ht="21.75" customHeight="1" x14ac:dyDescent="0.3">
      <c r="A2" s="60" t="s">
        <v>24</v>
      </c>
      <c r="B2" s="60"/>
      <c r="C2" s="60"/>
      <c r="D2" s="16"/>
      <c r="E2" s="16"/>
      <c r="F2" s="61" t="s">
        <v>22</v>
      </c>
      <c r="G2" s="61"/>
      <c r="H2" s="61"/>
      <c r="I2" s="61"/>
      <c r="J2" s="61"/>
      <c r="L2" s="65" t="s">
        <v>26</v>
      </c>
      <c r="M2" s="65"/>
      <c r="N2" s="65"/>
      <c r="O2" s="65"/>
    </row>
    <row r="3" spans="1:15" ht="21.75" customHeight="1" x14ac:dyDescent="0.25">
      <c r="A3" s="3"/>
      <c r="B3" s="2" t="s">
        <v>4</v>
      </c>
      <c r="C3" s="2" t="s">
        <v>5</v>
      </c>
      <c r="D3" s="14"/>
      <c r="E3" s="14"/>
      <c r="F3" s="7"/>
      <c r="G3" s="8" t="s">
        <v>16</v>
      </c>
      <c r="H3" s="8" t="s">
        <v>14</v>
      </c>
      <c r="I3" s="8" t="s">
        <v>15</v>
      </c>
      <c r="J3" s="8"/>
      <c r="L3" s="24"/>
      <c r="M3" s="25" t="s">
        <v>4</v>
      </c>
      <c r="N3" s="25" t="s">
        <v>5</v>
      </c>
      <c r="O3" s="25"/>
    </row>
    <row r="4" spans="1:15" ht="21.75" customHeight="1" x14ac:dyDescent="0.25">
      <c r="A4" s="3" t="s">
        <v>0</v>
      </c>
      <c r="B4" s="2">
        <f>1635+183+29+1+53+40+71+34+10+33</f>
        <v>2089</v>
      </c>
      <c r="C4" s="2"/>
      <c r="D4" s="14"/>
      <c r="E4" s="14"/>
      <c r="F4" s="7" t="s">
        <v>0</v>
      </c>
      <c r="G4" s="8">
        <f>302+68+1+12+2+5</f>
        <v>390</v>
      </c>
      <c r="H4" s="8">
        <f>1+1</f>
        <v>2</v>
      </c>
      <c r="I4" s="8">
        <f>4+1</f>
        <v>5</v>
      </c>
      <c r="J4" s="8">
        <f>SUM(G4:I4)</f>
        <v>397</v>
      </c>
      <c r="L4" s="24" t="s">
        <v>0</v>
      </c>
      <c r="M4" s="25">
        <f>55+7+17+11+3+6</f>
        <v>99</v>
      </c>
      <c r="N4" s="25">
        <v>2</v>
      </c>
      <c r="O4" s="25">
        <f>SUM(M4:N4)</f>
        <v>101</v>
      </c>
    </row>
    <row r="5" spans="1:15" ht="21.75" customHeight="1" x14ac:dyDescent="0.25">
      <c r="A5" s="13"/>
      <c r="B5" s="14"/>
      <c r="C5" s="14"/>
      <c r="D5" s="14"/>
      <c r="E5" s="14"/>
      <c r="F5" s="7" t="s">
        <v>17</v>
      </c>
      <c r="G5" s="8">
        <f>1687+270+6+10+38+9+26+5</f>
        <v>2051</v>
      </c>
      <c r="H5" s="8">
        <f>6+2</f>
        <v>8</v>
      </c>
      <c r="I5" s="8">
        <f>16+3</f>
        <v>19</v>
      </c>
      <c r="J5" s="8">
        <f t="shared" ref="J5:J13" si="0">SUM(G5:I5)</f>
        <v>2078</v>
      </c>
      <c r="L5" s="24" t="s">
        <v>17</v>
      </c>
      <c r="M5" s="25">
        <f>41+3+13+5+1+8</f>
        <v>71</v>
      </c>
      <c r="N5" s="25">
        <f>21+18+8+10+12</f>
        <v>69</v>
      </c>
      <c r="O5" s="25">
        <f t="shared" ref="O5:O13" si="1">SUM(M5:N5)</f>
        <v>140</v>
      </c>
    </row>
    <row r="6" spans="1:15" ht="21.75" customHeight="1" x14ac:dyDescent="0.3">
      <c r="A6" s="66" t="s">
        <v>25</v>
      </c>
      <c r="B6" s="67"/>
      <c r="C6" s="67"/>
      <c r="D6" s="68"/>
      <c r="E6" s="17"/>
      <c r="F6" s="7" t="s">
        <v>6</v>
      </c>
      <c r="G6" s="8">
        <f>4+1+2+1</f>
        <v>8</v>
      </c>
      <c r="H6" s="8">
        <v>1</v>
      </c>
      <c r="I6" s="8"/>
      <c r="J6" s="8">
        <f t="shared" si="0"/>
        <v>9</v>
      </c>
      <c r="L6" s="24" t="s">
        <v>6</v>
      </c>
      <c r="M6" s="25">
        <v>0</v>
      </c>
      <c r="N6" s="25">
        <f>28+2+13+6+4+9</f>
        <v>62</v>
      </c>
      <c r="O6" s="25">
        <f t="shared" si="1"/>
        <v>62</v>
      </c>
    </row>
    <row r="7" spans="1:15" ht="21.75" customHeight="1" x14ac:dyDescent="0.3">
      <c r="A7" s="54"/>
      <c r="B7" s="54" t="s">
        <v>4</v>
      </c>
      <c r="C7" s="54" t="s">
        <v>5</v>
      </c>
      <c r="D7" s="54"/>
      <c r="E7" s="17"/>
      <c r="F7" s="7" t="s">
        <v>8</v>
      </c>
      <c r="G7" s="8">
        <f>37+1+4+1</f>
        <v>43</v>
      </c>
      <c r="H7" s="8"/>
      <c r="I7" s="8"/>
      <c r="J7" s="8">
        <f t="shared" si="0"/>
        <v>43</v>
      </c>
      <c r="L7" s="24" t="s">
        <v>8</v>
      </c>
      <c r="M7" s="25">
        <v>0</v>
      </c>
      <c r="N7" s="25">
        <f>2+1</f>
        <v>3</v>
      </c>
      <c r="O7" s="25">
        <f t="shared" si="1"/>
        <v>3</v>
      </c>
    </row>
    <row r="8" spans="1:15" ht="21.75" customHeight="1" x14ac:dyDescent="0.25">
      <c r="A8" s="19" t="s">
        <v>1</v>
      </c>
      <c r="B8" s="4">
        <f>2999+356+19+137+1+1+77+1+134+46+2+17+124</f>
        <v>3914</v>
      </c>
      <c r="C8" s="4"/>
      <c r="D8" s="4">
        <f>SUM(B8:C8)</f>
        <v>3914</v>
      </c>
      <c r="E8" s="14"/>
      <c r="F8" s="7" t="s">
        <v>9</v>
      </c>
      <c r="G8" s="8">
        <f>35+8+11+4+1</f>
        <v>59</v>
      </c>
      <c r="H8" s="8"/>
      <c r="I8" s="8"/>
      <c r="J8" s="8">
        <f t="shared" si="0"/>
        <v>59</v>
      </c>
      <c r="L8" s="24" t="s">
        <v>9</v>
      </c>
      <c r="M8" s="25">
        <v>0</v>
      </c>
      <c r="N8" s="25">
        <f>22+3+7+3+3+5</f>
        <v>43</v>
      </c>
      <c r="O8" s="25">
        <f t="shared" si="1"/>
        <v>43</v>
      </c>
    </row>
    <row r="9" spans="1:15" ht="21.75" customHeight="1" x14ac:dyDescent="0.25">
      <c r="A9" s="19" t="s">
        <v>3</v>
      </c>
      <c r="B9" s="4">
        <f>7+4</f>
        <v>11</v>
      </c>
      <c r="C9" s="4">
        <f>48+14+3+16+11+11+5+2+2</f>
        <v>112</v>
      </c>
      <c r="D9" s="4">
        <f t="shared" ref="D9:D18" si="2">SUM(B9:C9)</f>
        <v>123</v>
      </c>
      <c r="E9" s="14"/>
      <c r="F9" s="7" t="s">
        <v>18</v>
      </c>
      <c r="G9" s="8">
        <f>61+8+10+5+2</f>
        <v>86</v>
      </c>
      <c r="H9" s="8"/>
      <c r="I9" s="8"/>
      <c r="J9" s="8">
        <f t="shared" si="0"/>
        <v>86</v>
      </c>
      <c r="L9" s="24" t="s">
        <v>18</v>
      </c>
      <c r="M9" s="25">
        <v>0</v>
      </c>
      <c r="N9" s="25">
        <f>7+1+2+1+1+1</f>
        <v>13</v>
      </c>
      <c r="O9" s="25">
        <f t="shared" si="1"/>
        <v>13</v>
      </c>
    </row>
    <row r="10" spans="1:15" ht="21.75" customHeight="1" x14ac:dyDescent="0.25">
      <c r="A10" s="19" t="s">
        <v>6</v>
      </c>
      <c r="B10" s="4">
        <f>367+37+3+37+6+23+8+3+25</f>
        <v>509</v>
      </c>
      <c r="C10" s="4">
        <f>13+13+2+17+1+1+4</f>
        <v>51</v>
      </c>
      <c r="D10" s="4">
        <f t="shared" si="2"/>
        <v>560</v>
      </c>
      <c r="E10" s="14"/>
      <c r="F10" s="7" t="s">
        <v>11</v>
      </c>
      <c r="G10" s="8">
        <f>46+7+1+6+1</f>
        <v>61</v>
      </c>
      <c r="H10" s="8"/>
      <c r="I10" s="8"/>
      <c r="J10" s="8">
        <f t="shared" si="0"/>
        <v>61</v>
      </c>
      <c r="L10" s="24" t="s">
        <v>11</v>
      </c>
      <c r="M10" s="25">
        <v>0</v>
      </c>
      <c r="N10" s="25">
        <f>17+1+6+2+5+5</f>
        <v>36</v>
      </c>
      <c r="O10" s="25">
        <f t="shared" si="1"/>
        <v>36</v>
      </c>
    </row>
    <row r="11" spans="1:15" ht="21.75" customHeight="1" x14ac:dyDescent="0.25">
      <c r="A11" s="19" t="s">
        <v>7</v>
      </c>
      <c r="B11" s="4">
        <f>17+1</f>
        <v>18</v>
      </c>
      <c r="C11" s="4">
        <f>162+21+5+32+8+13+3+2+9</f>
        <v>255</v>
      </c>
      <c r="D11" s="4">
        <f t="shared" si="2"/>
        <v>273</v>
      </c>
      <c r="E11" s="14"/>
      <c r="F11" s="7" t="s">
        <v>12</v>
      </c>
      <c r="G11" s="8">
        <f>33+5+1</f>
        <v>39</v>
      </c>
      <c r="H11" s="8"/>
      <c r="I11" s="8"/>
      <c r="J11" s="8">
        <f t="shared" si="0"/>
        <v>39</v>
      </c>
      <c r="L11" s="24" t="s">
        <v>12</v>
      </c>
      <c r="M11" s="25">
        <v>0</v>
      </c>
      <c r="N11" s="25">
        <f>1+2+1+2</f>
        <v>6</v>
      </c>
      <c r="O11" s="25">
        <f t="shared" si="1"/>
        <v>6</v>
      </c>
    </row>
    <row r="12" spans="1:15" ht="21.75" customHeight="1" x14ac:dyDescent="0.25">
      <c r="A12" s="19" t="s">
        <v>8</v>
      </c>
      <c r="B12" s="4">
        <f>1154+40+14+11+5</f>
        <v>1224</v>
      </c>
      <c r="C12" s="4">
        <f>9+136+10+16+4+2+2</f>
        <v>179</v>
      </c>
      <c r="D12" s="4">
        <f t="shared" si="2"/>
        <v>1403</v>
      </c>
      <c r="E12" s="14"/>
      <c r="F12" s="7" t="s">
        <v>13</v>
      </c>
      <c r="G12" s="8">
        <v>1</v>
      </c>
      <c r="H12" s="8"/>
      <c r="I12" s="8"/>
      <c r="J12" s="8">
        <f t="shared" si="0"/>
        <v>1</v>
      </c>
      <c r="L12" s="24" t="s">
        <v>13</v>
      </c>
      <c r="M12" s="25">
        <v>0</v>
      </c>
      <c r="N12" s="25">
        <v>0</v>
      </c>
      <c r="O12" s="25">
        <f t="shared" si="1"/>
        <v>0</v>
      </c>
    </row>
    <row r="13" spans="1:15" ht="21.75" customHeight="1" x14ac:dyDescent="0.25">
      <c r="A13" s="19" t="s">
        <v>9</v>
      </c>
      <c r="B13" s="4">
        <f>273+48+4+34+10+14+4+1+21</f>
        <v>409</v>
      </c>
      <c r="C13" s="4">
        <f>6+12+2+6+2+1+1</f>
        <v>30</v>
      </c>
      <c r="D13" s="4">
        <f t="shared" si="2"/>
        <v>439</v>
      </c>
      <c r="E13" s="14"/>
      <c r="F13" s="7"/>
      <c r="G13" s="8">
        <f>SUM(G4:G12)</f>
        <v>2738</v>
      </c>
      <c r="H13" s="8">
        <f>SUM(H4:H12)</f>
        <v>11</v>
      </c>
      <c r="I13" s="8">
        <f>SUM(I4:I12)</f>
        <v>24</v>
      </c>
      <c r="J13" s="8">
        <f t="shared" si="0"/>
        <v>2773</v>
      </c>
      <c r="L13" s="24"/>
      <c r="M13" s="25">
        <f>SUM(M4:M12)</f>
        <v>170</v>
      </c>
      <c r="N13" s="25">
        <f>SUM(N4:N12)</f>
        <v>234</v>
      </c>
      <c r="O13" s="25">
        <f t="shared" si="1"/>
        <v>404</v>
      </c>
    </row>
    <row r="14" spans="1:15" ht="21.75" customHeight="1" x14ac:dyDescent="0.25">
      <c r="A14" s="19" t="s">
        <v>10</v>
      </c>
      <c r="B14" s="4">
        <f>444+14+1+1+5+14+3+2+8</f>
        <v>492</v>
      </c>
      <c r="C14" s="4">
        <f>13+59+8+9+2+5+2+3+5</f>
        <v>106</v>
      </c>
      <c r="D14" s="4">
        <f t="shared" si="2"/>
        <v>598</v>
      </c>
      <c r="E14" s="14"/>
      <c r="L14" s="13"/>
      <c r="M14" s="14"/>
      <c r="N14" s="14"/>
      <c r="O14" s="14"/>
    </row>
    <row r="15" spans="1:15" ht="21.75" customHeight="1" x14ac:dyDescent="0.3">
      <c r="A15" s="19" t="s">
        <v>11</v>
      </c>
      <c r="B15" s="4">
        <f>247+51+5+22+3+11+6+4+11</f>
        <v>360</v>
      </c>
      <c r="C15" s="4">
        <f>15+8+2+15+9+7+4+2+4</f>
        <v>66</v>
      </c>
      <c r="D15" s="4">
        <f t="shared" si="2"/>
        <v>426</v>
      </c>
      <c r="E15" s="14"/>
      <c r="F15" s="69" t="s">
        <v>23</v>
      </c>
      <c r="G15" s="70"/>
      <c r="H15" s="70"/>
      <c r="I15" s="70"/>
      <c r="J15" s="71"/>
    </row>
    <row r="16" spans="1:15" ht="21.75" customHeight="1" x14ac:dyDescent="0.25">
      <c r="A16" s="19" t="s">
        <v>12</v>
      </c>
      <c r="B16" s="4">
        <f>681+11+4+9+5+3+6</f>
        <v>719</v>
      </c>
      <c r="C16" s="4">
        <f>10+83+14+27+3+3+3</f>
        <v>143</v>
      </c>
      <c r="D16" s="4">
        <f t="shared" si="2"/>
        <v>862</v>
      </c>
      <c r="E16" s="14"/>
      <c r="F16" s="9"/>
      <c r="G16" s="10" t="s">
        <v>16</v>
      </c>
      <c r="H16" s="10" t="s">
        <v>14</v>
      </c>
      <c r="I16" s="10" t="s">
        <v>15</v>
      </c>
      <c r="J16" s="10"/>
    </row>
    <row r="17" spans="1:10" ht="21.75" customHeight="1" x14ac:dyDescent="0.25">
      <c r="A17" s="19" t="s">
        <v>13</v>
      </c>
      <c r="B17" s="4">
        <f>30+1+2+1</f>
        <v>34</v>
      </c>
      <c r="C17" s="4">
        <f>0+4+2+1+1</f>
        <v>8</v>
      </c>
      <c r="D17" s="4">
        <f t="shared" si="2"/>
        <v>42</v>
      </c>
      <c r="E17" s="14"/>
      <c r="F17" s="9" t="s">
        <v>0</v>
      </c>
      <c r="G17" s="10">
        <f>241+399+75+16+6+5</f>
        <v>742</v>
      </c>
      <c r="H17" s="10">
        <v>6</v>
      </c>
      <c r="I17" s="10">
        <f>3+9+1</f>
        <v>13</v>
      </c>
      <c r="J17" s="10">
        <f>SUM(G17:I17)</f>
        <v>761</v>
      </c>
    </row>
    <row r="18" spans="1:10" ht="21.75" customHeight="1" x14ac:dyDescent="0.25">
      <c r="A18" s="20"/>
      <c r="B18" s="5">
        <f>SUM(B8:B17)</f>
        <v>7690</v>
      </c>
      <c r="C18" s="5">
        <f>SUM(C9:C17)</f>
        <v>950</v>
      </c>
      <c r="D18" s="4">
        <f t="shared" si="2"/>
        <v>8640</v>
      </c>
      <c r="E18" s="14"/>
      <c r="F18" s="9" t="s">
        <v>17</v>
      </c>
      <c r="G18" s="10">
        <f>1051+2019+977+826+115+28+25+10</f>
        <v>5051</v>
      </c>
      <c r="H18" s="10">
        <f>38+12</f>
        <v>50</v>
      </c>
      <c r="I18" s="10">
        <f>35+11</f>
        <v>46</v>
      </c>
      <c r="J18" s="10">
        <f>SUM(G18:I18)</f>
        <v>5147</v>
      </c>
    </row>
    <row r="19" spans="1:10" ht="21.75" customHeight="1" x14ac:dyDescent="0.25">
      <c r="B19" s="64"/>
      <c r="C19" s="64"/>
      <c r="D19" s="55"/>
      <c r="E19" s="55"/>
      <c r="F19" s="9"/>
      <c r="G19" s="10">
        <f>SUM(G17:G18)</f>
        <v>5793</v>
      </c>
      <c r="H19" s="10">
        <f t="shared" ref="H19:I19" si="3">SUM(H17:H18)</f>
        <v>56</v>
      </c>
      <c r="I19" s="10">
        <f t="shared" si="3"/>
        <v>59</v>
      </c>
      <c r="J19" s="10">
        <f>SUM(J17:J18)</f>
        <v>5908</v>
      </c>
    </row>
    <row r="20" spans="1:10" ht="21.75" customHeight="1" x14ac:dyDescent="0.25">
      <c r="A20" s="52" t="s">
        <v>19</v>
      </c>
      <c r="B20" s="56">
        <f>630+7+349+122+62+25+25</f>
        <v>1220</v>
      </c>
      <c r="C20" s="56"/>
      <c r="D20" s="14"/>
      <c r="E20" s="14"/>
      <c r="F20" s="13"/>
      <c r="G20" s="14"/>
      <c r="H20" s="14"/>
      <c r="I20" s="14"/>
      <c r="J20" s="14"/>
    </row>
    <row r="21" spans="1:10" ht="21.75" customHeight="1" x14ac:dyDescent="0.3">
      <c r="A21" s="52" t="s">
        <v>2</v>
      </c>
      <c r="B21" s="56">
        <f>6+8+3+1+1+1</f>
        <v>20</v>
      </c>
      <c r="C21" s="56"/>
      <c r="D21" s="14"/>
      <c r="E21" s="14"/>
      <c r="F21" s="53" t="s">
        <v>20</v>
      </c>
      <c r="G21" s="53"/>
    </row>
    <row r="22" spans="1:10" ht="21.75" customHeight="1" x14ac:dyDescent="0.25">
      <c r="F22" s="11" t="s">
        <v>0</v>
      </c>
      <c r="G22" s="12">
        <f>15+6+6</f>
        <v>27</v>
      </c>
    </row>
    <row r="23" spans="1:10" ht="21.75" customHeight="1" x14ac:dyDescent="0.25">
      <c r="A23" s="3" t="s">
        <v>21</v>
      </c>
      <c r="B23" s="2">
        <f>SUM(B4+D18+B20+B21+J13+J19+G24+O13)</f>
        <v>21138</v>
      </c>
      <c r="F23" s="11" t="s">
        <v>17</v>
      </c>
      <c r="G23" s="12">
        <f>46+6+5</f>
        <v>57</v>
      </c>
    </row>
    <row r="24" spans="1:10" ht="21.75" customHeight="1" x14ac:dyDescent="0.25">
      <c r="F24" s="11"/>
      <c r="G24" s="12">
        <f>SUM(G22:G23)</f>
        <v>84</v>
      </c>
    </row>
    <row r="25" spans="1:10" ht="21.75" customHeight="1" x14ac:dyDescent="0.25"/>
  </sheetData>
  <mergeCells count="9">
    <mergeCell ref="B19:C19"/>
    <mergeCell ref="B20:C20"/>
    <mergeCell ref="B21:C21"/>
    <mergeCell ref="A1:O1"/>
    <mergeCell ref="A2:C2"/>
    <mergeCell ref="F2:J2"/>
    <mergeCell ref="L2:O2"/>
    <mergeCell ref="A6:D6"/>
    <mergeCell ref="F15:J15"/>
  </mergeCells>
  <pageMargins left="0.7" right="0.7" top="0.4" bottom="0.57999999999999996" header="0.3" footer="0.3"/>
  <pageSetup paperSize="9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4"/>
  <sheetViews>
    <sheetView workbookViewId="0">
      <selection activeCell="B21" sqref="B21"/>
    </sheetView>
  </sheetViews>
  <sheetFormatPr defaultRowHeight="15" x14ac:dyDescent="0.25"/>
  <cols>
    <col min="1" max="1" width="14.5703125" bestFit="1" customWidth="1"/>
    <col min="2" max="2" width="6.7109375" bestFit="1" customWidth="1"/>
    <col min="3" max="3" width="7.42578125" customWidth="1"/>
    <col min="4" max="4" width="7.140625" customWidth="1"/>
    <col min="5" max="5" width="3.42578125" customWidth="1"/>
    <col min="6" max="6" width="9.140625" customWidth="1"/>
    <col min="7" max="7" width="7.42578125" customWidth="1"/>
    <col min="8" max="8" width="6.85546875" customWidth="1"/>
    <col min="9" max="9" width="7.28515625" customWidth="1"/>
    <col min="10" max="10" width="6.85546875" customWidth="1"/>
    <col min="11" max="11" width="4.28515625" customWidth="1"/>
  </cols>
  <sheetData>
    <row r="1" spans="1:11" ht="23.25" x14ac:dyDescent="0.35">
      <c r="A1" s="58">
        <v>43364</v>
      </c>
      <c r="B1" s="59"/>
      <c r="C1" s="59"/>
      <c r="D1" s="59"/>
      <c r="E1" s="59"/>
      <c r="F1" s="59"/>
      <c r="G1" s="59"/>
      <c r="H1" s="59"/>
      <c r="I1" s="59"/>
      <c r="J1" s="59"/>
      <c r="K1" s="59"/>
    </row>
    <row r="2" spans="1:11" ht="21.75" customHeight="1" x14ac:dyDescent="0.3">
      <c r="A2" s="60" t="s">
        <v>24</v>
      </c>
      <c r="B2" s="60"/>
      <c r="C2" s="60"/>
      <c r="D2" s="16"/>
      <c r="E2" s="16"/>
      <c r="F2" s="61" t="s">
        <v>22</v>
      </c>
      <c r="G2" s="61"/>
      <c r="H2" s="61"/>
      <c r="I2" s="61"/>
      <c r="J2" s="61"/>
    </row>
    <row r="3" spans="1:11" ht="21.75" customHeight="1" x14ac:dyDescent="0.25">
      <c r="A3" s="3"/>
      <c r="B3" s="2" t="s">
        <v>4</v>
      </c>
      <c r="C3" s="2" t="s">
        <v>5</v>
      </c>
      <c r="D3" s="14"/>
      <c r="E3" s="14"/>
      <c r="F3" s="7"/>
      <c r="G3" s="8" t="s">
        <v>16</v>
      </c>
      <c r="H3" s="8" t="s">
        <v>14</v>
      </c>
      <c r="I3" s="8" t="s">
        <v>15</v>
      </c>
      <c r="J3" s="8"/>
    </row>
    <row r="4" spans="1:11" ht="21.75" customHeight="1" x14ac:dyDescent="0.25">
      <c r="A4" s="3" t="s">
        <v>0</v>
      </c>
      <c r="B4" s="2">
        <f>1635</f>
        <v>1635</v>
      </c>
      <c r="C4" s="2"/>
      <c r="D4" s="14"/>
      <c r="E4" s="14"/>
      <c r="F4" s="7" t="s">
        <v>0</v>
      </c>
      <c r="G4" s="8">
        <v>302</v>
      </c>
      <c r="H4" s="8">
        <v>1</v>
      </c>
      <c r="I4" s="8">
        <v>4</v>
      </c>
      <c r="J4" s="8">
        <f>SUM(G4:I4)</f>
        <v>307</v>
      </c>
    </row>
    <row r="5" spans="1:11" ht="21.75" customHeight="1" x14ac:dyDescent="0.25">
      <c r="A5" s="13"/>
      <c r="B5" s="14"/>
      <c r="C5" s="14"/>
      <c r="D5" s="14"/>
      <c r="E5" s="14"/>
      <c r="F5" s="7" t="s">
        <v>17</v>
      </c>
      <c r="G5" s="8">
        <v>1687</v>
      </c>
      <c r="H5" s="8">
        <v>6</v>
      </c>
      <c r="I5" s="8">
        <v>16</v>
      </c>
      <c r="J5" s="8">
        <f t="shared" ref="J5:J12" si="0">SUM(G5:I5)</f>
        <v>1709</v>
      </c>
    </row>
    <row r="6" spans="1:11" ht="21.75" customHeight="1" x14ac:dyDescent="0.3">
      <c r="A6" s="62" t="s">
        <v>25</v>
      </c>
      <c r="B6" s="62"/>
      <c r="C6" s="62"/>
      <c r="D6" s="18"/>
      <c r="E6" s="17"/>
      <c r="F6" s="7" t="s">
        <v>6</v>
      </c>
      <c r="G6" s="8">
        <v>4</v>
      </c>
      <c r="H6" s="8">
        <v>1</v>
      </c>
      <c r="I6" s="8"/>
      <c r="J6" s="8">
        <f t="shared" si="0"/>
        <v>5</v>
      </c>
    </row>
    <row r="7" spans="1:11" ht="21.75" customHeight="1" x14ac:dyDescent="0.25">
      <c r="A7" s="19" t="s">
        <v>1</v>
      </c>
      <c r="B7" s="4">
        <v>2999</v>
      </c>
      <c r="C7" s="4"/>
      <c r="D7" s="4">
        <f>SUM(B7:C7)</f>
        <v>2999</v>
      </c>
      <c r="E7" s="14"/>
      <c r="F7" s="7" t="s">
        <v>8</v>
      </c>
      <c r="G7" s="8">
        <v>37</v>
      </c>
      <c r="H7" s="8"/>
      <c r="I7" s="8"/>
      <c r="J7" s="8">
        <f t="shared" si="0"/>
        <v>37</v>
      </c>
    </row>
    <row r="8" spans="1:11" ht="21.75" customHeight="1" x14ac:dyDescent="0.25">
      <c r="A8" s="19" t="s">
        <v>3</v>
      </c>
      <c r="B8" s="4">
        <v>7</v>
      </c>
      <c r="C8" s="4">
        <v>48</v>
      </c>
      <c r="D8" s="4">
        <f t="shared" ref="D8:D17" si="1">SUM(B8:C8)</f>
        <v>55</v>
      </c>
      <c r="E8" s="14"/>
      <c r="F8" s="7" t="s">
        <v>9</v>
      </c>
      <c r="G8" s="8">
        <v>35</v>
      </c>
      <c r="H8" s="8"/>
      <c r="I8" s="8"/>
      <c r="J8" s="8">
        <f t="shared" si="0"/>
        <v>35</v>
      </c>
    </row>
    <row r="9" spans="1:11" ht="21.75" customHeight="1" x14ac:dyDescent="0.25">
      <c r="A9" s="19" t="s">
        <v>6</v>
      </c>
      <c r="B9" s="4">
        <v>367</v>
      </c>
      <c r="C9" s="4">
        <v>13</v>
      </c>
      <c r="D9" s="4">
        <f t="shared" si="1"/>
        <v>380</v>
      </c>
      <c r="E9" s="14"/>
      <c r="F9" s="7" t="s">
        <v>18</v>
      </c>
      <c r="G9" s="8">
        <v>61</v>
      </c>
      <c r="H9" s="8"/>
      <c r="I9" s="8"/>
      <c r="J9" s="8">
        <f t="shared" si="0"/>
        <v>61</v>
      </c>
    </row>
    <row r="10" spans="1:11" ht="21.75" customHeight="1" x14ac:dyDescent="0.25">
      <c r="A10" s="19" t="s">
        <v>7</v>
      </c>
      <c r="B10" s="4">
        <v>17</v>
      </c>
      <c r="C10" s="4">
        <v>162</v>
      </c>
      <c r="D10" s="4">
        <f t="shared" si="1"/>
        <v>179</v>
      </c>
      <c r="E10" s="14"/>
      <c r="F10" s="7" t="s">
        <v>11</v>
      </c>
      <c r="G10" s="8">
        <v>46</v>
      </c>
      <c r="H10" s="8"/>
      <c r="I10" s="8"/>
      <c r="J10" s="8">
        <f t="shared" si="0"/>
        <v>46</v>
      </c>
    </row>
    <row r="11" spans="1:11" ht="21.75" customHeight="1" x14ac:dyDescent="0.25">
      <c r="A11" s="19" t="s">
        <v>8</v>
      </c>
      <c r="B11" s="4">
        <v>1154</v>
      </c>
      <c r="C11" s="4">
        <v>9</v>
      </c>
      <c r="D11" s="4">
        <f t="shared" si="1"/>
        <v>1163</v>
      </c>
      <c r="E11" s="14"/>
      <c r="F11" s="7" t="s">
        <v>12</v>
      </c>
      <c r="G11" s="8">
        <v>33</v>
      </c>
      <c r="H11" s="8"/>
      <c r="I11" s="8"/>
      <c r="J11" s="8">
        <f t="shared" si="0"/>
        <v>33</v>
      </c>
    </row>
    <row r="12" spans="1:11" ht="21.75" customHeight="1" x14ac:dyDescent="0.25">
      <c r="A12" s="19" t="s">
        <v>9</v>
      </c>
      <c r="B12" s="4">
        <v>273</v>
      </c>
      <c r="C12" s="4">
        <v>6</v>
      </c>
      <c r="D12" s="4">
        <f t="shared" si="1"/>
        <v>279</v>
      </c>
      <c r="E12" s="14"/>
      <c r="F12" s="7" t="s">
        <v>13</v>
      </c>
      <c r="G12" s="8">
        <v>1</v>
      </c>
      <c r="H12" s="8"/>
      <c r="I12" s="8"/>
      <c r="J12" s="8">
        <f t="shared" si="0"/>
        <v>1</v>
      </c>
    </row>
    <row r="13" spans="1:11" ht="21.75" customHeight="1" x14ac:dyDescent="0.25">
      <c r="A13" s="19" t="s">
        <v>10</v>
      </c>
      <c r="B13" s="4">
        <v>444</v>
      </c>
      <c r="C13" s="4">
        <v>13</v>
      </c>
      <c r="D13" s="4">
        <f t="shared" si="1"/>
        <v>457</v>
      </c>
      <c r="E13" s="14"/>
      <c r="F13" s="7"/>
      <c r="G13" s="8">
        <f>SUM(G4:G12)</f>
        <v>2206</v>
      </c>
      <c r="H13" s="8">
        <f>SUM(H4:H12)</f>
        <v>8</v>
      </c>
      <c r="I13" s="8">
        <f>SUM(I4:I12)</f>
        <v>20</v>
      </c>
      <c r="J13" s="8">
        <f>SUM(G13:I13)</f>
        <v>2234</v>
      </c>
    </row>
    <row r="14" spans="1:11" ht="21.75" customHeight="1" x14ac:dyDescent="0.25">
      <c r="A14" s="19" t="s">
        <v>11</v>
      </c>
      <c r="B14" s="4">
        <v>247</v>
      </c>
      <c r="C14" s="4">
        <v>15</v>
      </c>
      <c r="D14" s="4">
        <f t="shared" si="1"/>
        <v>262</v>
      </c>
      <c r="E14" s="14"/>
    </row>
    <row r="15" spans="1:11" ht="21.75" customHeight="1" x14ac:dyDescent="0.3">
      <c r="A15" s="19" t="s">
        <v>12</v>
      </c>
      <c r="B15" s="4">
        <v>681</v>
      </c>
      <c r="C15" s="4">
        <v>10</v>
      </c>
      <c r="D15" s="4">
        <f t="shared" si="1"/>
        <v>691</v>
      </c>
      <c r="E15" s="14"/>
      <c r="F15" s="63" t="s">
        <v>23</v>
      </c>
      <c r="G15" s="63"/>
      <c r="H15" s="63"/>
      <c r="I15" s="63"/>
      <c r="J15" s="63"/>
    </row>
    <row r="16" spans="1:11" ht="21.75" customHeight="1" x14ac:dyDescent="0.25">
      <c r="A16" s="19" t="s">
        <v>13</v>
      </c>
      <c r="B16" s="4">
        <v>30</v>
      </c>
      <c r="C16" s="4"/>
      <c r="D16" s="4">
        <f t="shared" si="1"/>
        <v>30</v>
      </c>
      <c r="E16" s="14"/>
      <c r="F16" s="9"/>
      <c r="G16" s="10" t="s">
        <v>16</v>
      </c>
      <c r="H16" s="10" t="s">
        <v>14</v>
      </c>
      <c r="I16" s="10" t="s">
        <v>15</v>
      </c>
      <c r="J16" s="10"/>
    </row>
    <row r="17" spans="1:10" ht="21.75" customHeight="1" x14ac:dyDescent="0.25">
      <c r="A17" s="20"/>
      <c r="B17" s="5">
        <f>SUM(B7:B16)</f>
        <v>6219</v>
      </c>
      <c r="C17" s="5">
        <f>SUM(C8:C16)</f>
        <v>276</v>
      </c>
      <c r="D17" s="4">
        <f t="shared" si="1"/>
        <v>6495</v>
      </c>
      <c r="E17" s="14"/>
      <c r="F17" s="9" t="s">
        <v>0</v>
      </c>
      <c r="G17" s="10">
        <v>241</v>
      </c>
      <c r="H17" s="10">
        <v>6</v>
      </c>
      <c r="I17" s="10">
        <v>3</v>
      </c>
      <c r="J17" s="10">
        <f>SUM(G17:I17)</f>
        <v>250</v>
      </c>
    </row>
    <row r="18" spans="1:10" ht="21.75" customHeight="1" x14ac:dyDescent="0.25">
      <c r="B18" s="64"/>
      <c r="C18" s="64"/>
      <c r="D18" s="15"/>
      <c r="E18" s="15"/>
      <c r="F18" s="9" t="s">
        <v>17</v>
      </c>
      <c r="G18" s="10">
        <v>1051</v>
      </c>
      <c r="H18" s="10">
        <v>38</v>
      </c>
      <c r="I18" s="10">
        <v>35</v>
      </c>
      <c r="J18" s="10">
        <f>SUM(G18:I18)</f>
        <v>1124</v>
      </c>
    </row>
    <row r="19" spans="1:10" ht="21.75" customHeight="1" x14ac:dyDescent="0.25">
      <c r="A19" s="6" t="s">
        <v>19</v>
      </c>
      <c r="B19" s="56">
        <v>630</v>
      </c>
      <c r="C19" s="56"/>
      <c r="D19" s="14"/>
      <c r="E19" s="14"/>
      <c r="F19" s="9"/>
      <c r="G19" s="10">
        <f>SUM(G17:G18)</f>
        <v>1292</v>
      </c>
      <c r="H19" s="10">
        <f t="shared" ref="H19:I19" si="2">SUM(H17:H18)</f>
        <v>44</v>
      </c>
      <c r="I19" s="10">
        <f t="shared" si="2"/>
        <v>38</v>
      </c>
      <c r="J19" s="10">
        <f>SUM(J17:J18)</f>
        <v>1374</v>
      </c>
    </row>
    <row r="20" spans="1:10" ht="21.75" customHeight="1" x14ac:dyDescent="0.25">
      <c r="A20" s="6" t="s">
        <v>2</v>
      </c>
      <c r="B20" s="56">
        <v>6</v>
      </c>
      <c r="C20" s="56"/>
      <c r="D20" s="14"/>
      <c r="E20" s="14"/>
      <c r="F20" s="13"/>
      <c r="G20" s="14"/>
      <c r="H20" s="14"/>
      <c r="I20" s="14"/>
      <c r="J20" s="14"/>
    </row>
    <row r="21" spans="1:10" ht="21.75" customHeight="1" x14ac:dyDescent="0.3">
      <c r="F21" s="57" t="s">
        <v>20</v>
      </c>
      <c r="G21" s="57"/>
    </row>
    <row r="22" spans="1:10" ht="21.75" customHeight="1" x14ac:dyDescent="0.25">
      <c r="A22" s="3" t="s">
        <v>21</v>
      </c>
      <c r="B22" s="2">
        <f>SUM(B4+D17+B19+B20+J13+J19+G24)</f>
        <v>12435</v>
      </c>
      <c r="F22" s="11" t="s">
        <v>0</v>
      </c>
      <c r="G22" s="12">
        <v>15</v>
      </c>
    </row>
    <row r="23" spans="1:10" ht="21.75" customHeight="1" x14ac:dyDescent="0.25">
      <c r="F23" s="11" t="s">
        <v>17</v>
      </c>
      <c r="G23" s="12">
        <v>46</v>
      </c>
    </row>
    <row r="24" spans="1:10" ht="21.75" customHeight="1" x14ac:dyDescent="0.25">
      <c r="F24" s="1"/>
      <c r="G24" s="12">
        <f>SUM(G22:G23)</f>
        <v>61</v>
      </c>
    </row>
  </sheetData>
  <mergeCells count="9">
    <mergeCell ref="B20:C20"/>
    <mergeCell ref="F15:J15"/>
    <mergeCell ref="F21:G21"/>
    <mergeCell ref="A1:K1"/>
    <mergeCell ref="A2:C2"/>
    <mergeCell ref="A6:C6"/>
    <mergeCell ref="F2:J2"/>
    <mergeCell ref="B18:C18"/>
    <mergeCell ref="B19:C19"/>
  </mergeCells>
  <pageMargins left="0.7" right="0.7" top="0.57999999999999996" bottom="0.75" header="0.3" footer="0.3"/>
  <pageSetup paperSize="9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25"/>
  <sheetViews>
    <sheetView workbookViewId="0">
      <selection activeCell="N21" sqref="N21"/>
    </sheetView>
  </sheetViews>
  <sheetFormatPr defaultRowHeight="15" x14ac:dyDescent="0.25"/>
  <cols>
    <col min="1" max="1" width="14.5703125" bestFit="1" customWidth="1"/>
    <col min="2" max="2" width="6.7109375" bestFit="1" customWidth="1"/>
    <col min="3" max="3" width="7.42578125" customWidth="1"/>
    <col min="4" max="4" width="7.140625" customWidth="1"/>
    <col min="5" max="5" width="3.42578125" customWidth="1"/>
    <col min="6" max="6" width="9.140625" customWidth="1"/>
    <col min="7" max="7" width="7.42578125" customWidth="1"/>
    <col min="8" max="8" width="6.85546875" customWidth="1"/>
    <col min="9" max="9" width="7.28515625" customWidth="1"/>
    <col min="10" max="10" width="6.85546875" customWidth="1"/>
    <col min="11" max="11" width="4.28515625" customWidth="1"/>
    <col min="13" max="13" width="7.7109375" customWidth="1"/>
    <col min="14" max="14" width="7.42578125" customWidth="1"/>
    <col min="15" max="15" width="5.85546875" customWidth="1"/>
  </cols>
  <sheetData>
    <row r="1" spans="1:15" ht="23.25" x14ac:dyDescent="0.35">
      <c r="A1" s="58">
        <v>43377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</row>
    <row r="2" spans="1:15" ht="21.75" customHeight="1" x14ac:dyDescent="0.3">
      <c r="A2" s="60" t="s">
        <v>24</v>
      </c>
      <c r="B2" s="60"/>
      <c r="C2" s="60"/>
      <c r="D2" s="16"/>
      <c r="E2" s="16"/>
      <c r="F2" s="61" t="s">
        <v>22</v>
      </c>
      <c r="G2" s="61"/>
      <c r="H2" s="61"/>
      <c r="I2" s="61"/>
      <c r="J2" s="61"/>
      <c r="L2" s="65" t="s">
        <v>26</v>
      </c>
      <c r="M2" s="65"/>
      <c r="N2" s="65"/>
      <c r="O2" s="65"/>
    </row>
    <row r="3" spans="1:15" ht="21.75" customHeight="1" x14ac:dyDescent="0.25">
      <c r="A3" s="3"/>
      <c r="B3" s="2" t="s">
        <v>4</v>
      </c>
      <c r="C3" s="2" t="s">
        <v>5</v>
      </c>
      <c r="D3" s="14"/>
      <c r="E3" s="14"/>
      <c r="F3" s="7"/>
      <c r="G3" s="8" t="s">
        <v>16</v>
      </c>
      <c r="H3" s="8" t="s">
        <v>14</v>
      </c>
      <c r="I3" s="8" t="s">
        <v>15</v>
      </c>
      <c r="J3" s="8"/>
      <c r="L3" s="24"/>
      <c r="M3" s="25" t="s">
        <v>4</v>
      </c>
      <c r="N3" s="25" t="s">
        <v>5</v>
      </c>
      <c r="O3" s="25"/>
    </row>
    <row r="4" spans="1:15" ht="21.75" customHeight="1" x14ac:dyDescent="0.25">
      <c r="A4" s="3" t="s">
        <v>0</v>
      </c>
      <c r="B4" s="2">
        <f>1635+183+1</f>
        <v>1819</v>
      </c>
      <c r="C4" s="2"/>
      <c r="D4" s="14"/>
      <c r="E4" s="14"/>
      <c r="F4" s="7" t="s">
        <v>0</v>
      </c>
      <c r="G4" s="8">
        <v>302</v>
      </c>
      <c r="H4" s="8">
        <v>1</v>
      </c>
      <c r="I4" s="8">
        <v>4</v>
      </c>
      <c r="J4" s="8">
        <f>SUM(G4:I4)</f>
        <v>307</v>
      </c>
      <c r="L4" s="24" t="s">
        <v>0</v>
      </c>
      <c r="M4" s="25">
        <v>55</v>
      </c>
      <c r="N4" s="25">
        <v>0</v>
      </c>
      <c r="O4" s="25">
        <f>SUM(M4:N4)</f>
        <v>55</v>
      </c>
    </row>
    <row r="5" spans="1:15" ht="21.75" customHeight="1" x14ac:dyDescent="0.25">
      <c r="A5" s="13"/>
      <c r="B5" s="14"/>
      <c r="C5" s="14"/>
      <c r="D5" s="14"/>
      <c r="E5" s="14"/>
      <c r="F5" s="7" t="s">
        <v>17</v>
      </c>
      <c r="G5" s="8">
        <v>1687</v>
      </c>
      <c r="H5" s="8">
        <v>6</v>
      </c>
      <c r="I5" s="8">
        <v>16</v>
      </c>
      <c r="J5" s="8">
        <f t="shared" ref="J5:J6" si="0">SUM(G5:I5)</f>
        <v>1709</v>
      </c>
      <c r="L5" s="24" t="s">
        <v>17</v>
      </c>
      <c r="M5" s="25">
        <v>41</v>
      </c>
      <c r="N5" s="25">
        <v>21</v>
      </c>
      <c r="O5" s="25">
        <f t="shared" ref="O5:O6" si="1">SUM(M5:N5)</f>
        <v>62</v>
      </c>
    </row>
    <row r="6" spans="1:15" ht="21.75" customHeight="1" x14ac:dyDescent="0.3">
      <c r="A6" s="66" t="s">
        <v>25</v>
      </c>
      <c r="B6" s="67"/>
      <c r="C6" s="67"/>
      <c r="D6" s="68"/>
      <c r="E6" s="17"/>
      <c r="F6" s="7" t="s">
        <v>6</v>
      </c>
      <c r="G6" s="8">
        <v>4</v>
      </c>
      <c r="H6" s="8">
        <v>1</v>
      </c>
      <c r="I6" s="8"/>
      <c r="J6" s="8">
        <f t="shared" si="0"/>
        <v>5</v>
      </c>
      <c r="L6" s="24" t="s">
        <v>6</v>
      </c>
      <c r="M6" s="25">
        <v>0</v>
      </c>
      <c r="N6" s="25">
        <v>28</v>
      </c>
      <c r="O6" s="25">
        <f t="shared" si="1"/>
        <v>28</v>
      </c>
    </row>
    <row r="7" spans="1:15" ht="21.75" customHeight="1" x14ac:dyDescent="0.3">
      <c r="A7" s="27"/>
      <c r="B7" s="27" t="s">
        <v>4</v>
      </c>
      <c r="C7" s="27" t="s">
        <v>5</v>
      </c>
      <c r="D7" s="27"/>
      <c r="E7" s="17"/>
      <c r="F7" s="7" t="s">
        <v>8</v>
      </c>
      <c r="G7" s="8">
        <v>37</v>
      </c>
      <c r="H7" s="8"/>
      <c r="I7" s="8"/>
      <c r="J7" s="8">
        <f t="shared" ref="J7:J13" si="2">SUM(G7:I7)</f>
        <v>37</v>
      </c>
      <c r="L7" s="24" t="s">
        <v>8</v>
      </c>
      <c r="M7" s="25">
        <v>0</v>
      </c>
      <c r="N7" s="25">
        <v>2</v>
      </c>
      <c r="O7" s="25">
        <f t="shared" ref="O7:O13" si="3">SUM(M7:N7)</f>
        <v>2</v>
      </c>
    </row>
    <row r="8" spans="1:15" ht="21.75" customHeight="1" x14ac:dyDescent="0.25">
      <c r="A8" s="19" t="s">
        <v>1</v>
      </c>
      <c r="B8" s="4">
        <f>2999+356</f>
        <v>3355</v>
      </c>
      <c r="C8" s="4"/>
      <c r="D8" s="4">
        <f>SUM(B8:C8)</f>
        <v>3355</v>
      </c>
      <c r="E8" s="14"/>
      <c r="F8" s="7" t="s">
        <v>9</v>
      </c>
      <c r="G8" s="8">
        <v>35</v>
      </c>
      <c r="H8" s="8"/>
      <c r="I8" s="8"/>
      <c r="J8" s="8">
        <f t="shared" si="2"/>
        <v>35</v>
      </c>
      <c r="L8" s="24" t="s">
        <v>9</v>
      </c>
      <c r="M8" s="25">
        <v>0</v>
      </c>
      <c r="N8" s="25">
        <v>22</v>
      </c>
      <c r="O8" s="25">
        <f t="shared" si="3"/>
        <v>22</v>
      </c>
    </row>
    <row r="9" spans="1:15" ht="21.75" customHeight="1" x14ac:dyDescent="0.25">
      <c r="A9" s="19" t="s">
        <v>3</v>
      </c>
      <c r="B9" s="4">
        <f>7+4</f>
        <v>11</v>
      </c>
      <c r="C9" s="4">
        <f>48+14</f>
        <v>62</v>
      </c>
      <c r="D9" s="4">
        <f t="shared" ref="D9:D18" si="4">SUM(B9:C9)</f>
        <v>73</v>
      </c>
      <c r="E9" s="14"/>
      <c r="F9" s="7" t="s">
        <v>18</v>
      </c>
      <c r="G9" s="8">
        <v>61</v>
      </c>
      <c r="H9" s="8"/>
      <c r="I9" s="8"/>
      <c r="J9" s="8">
        <f t="shared" si="2"/>
        <v>61</v>
      </c>
      <c r="L9" s="24" t="s">
        <v>18</v>
      </c>
      <c r="M9" s="25">
        <v>0</v>
      </c>
      <c r="N9" s="25">
        <v>7</v>
      </c>
      <c r="O9" s="25">
        <f t="shared" si="3"/>
        <v>7</v>
      </c>
    </row>
    <row r="10" spans="1:15" ht="21.75" customHeight="1" x14ac:dyDescent="0.25">
      <c r="A10" s="19" t="s">
        <v>6</v>
      </c>
      <c r="B10" s="4">
        <f>367+37</f>
        <v>404</v>
      </c>
      <c r="C10" s="4">
        <f>13+13</f>
        <v>26</v>
      </c>
      <c r="D10" s="4">
        <f t="shared" si="4"/>
        <v>430</v>
      </c>
      <c r="E10" s="14"/>
      <c r="F10" s="7" t="s">
        <v>11</v>
      </c>
      <c r="G10" s="8">
        <v>46</v>
      </c>
      <c r="H10" s="8"/>
      <c r="I10" s="8"/>
      <c r="J10" s="8">
        <f t="shared" si="2"/>
        <v>46</v>
      </c>
      <c r="L10" s="24" t="s">
        <v>11</v>
      </c>
      <c r="M10" s="25">
        <v>0</v>
      </c>
      <c r="N10" s="25">
        <v>17</v>
      </c>
      <c r="O10" s="25">
        <f t="shared" si="3"/>
        <v>17</v>
      </c>
    </row>
    <row r="11" spans="1:15" ht="21.75" customHeight="1" x14ac:dyDescent="0.25">
      <c r="A11" s="19" t="s">
        <v>7</v>
      </c>
      <c r="B11" s="4">
        <f>17+1</f>
        <v>18</v>
      </c>
      <c r="C11" s="4">
        <f>162+21</f>
        <v>183</v>
      </c>
      <c r="D11" s="4">
        <f t="shared" si="4"/>
        <v>201</v>
      </c>
      <c r="E11" s="14"/>
      <c r="F11" s="7" t="s">
        <v>12</v>
      </c>
      <c r="G11" s="8">
        <v>33</v>
      </c>
      <c r="H11" s="8"/>
      <c r="I11" s="8"/>
      <c r="J11" s="8">
        <f t="shared" si="2"/>
        <v>33</v>
      </c>
      <c r="L11" s="24" t="s">
        <v>12</v>
      </c>
      <c r="M11" s="25">
        <v>0</v>
      </c>
      <c r="N11" s="25">
        <v>1</v>
      </c>
      <c r="O11" s="25">
        <f t="shared" si="3"/>
        <v>1</v>
      </c>
    </row>
    <row r="12" spans="1:15" ht="21.75" customHeight="1" x14ac:dyDescent="0.25">
      <c r="A12" s="19" t="s">
        <v>8</v>
      </c>
      <c r="B12" s="4">
        <f>1154+0</f>
        <v>1154</v>
      </c>
      <c r="C12" s="4">
        <f>9+136</f>
        <v>145</v>
      </c>
      <c r="D12" s="4">
        <f t="shared" si="4"/>
        <v>1299</v>
      </c>
      <c r="E12" s="14"/>
      <c r="F12" s="7" t="s">
        <v>13</v>
      </c>
      <c r="G12" s="8">
        <v>1</v>
      </c>
      <c r="H12" s="8"/>
      <c r="I12" s="8"/>
      <c r="J12" s="8">
        <f t="shared" si="2"/>
        <v>1</v>
      </c>
      <c r="L12" s="24" t="s">
        <v>13</v>
      </c>
      <c r="M12" s="25">
        <v>0</v>
      </c>
      <c r="N12" s="25">
        <v>0</v>
      </c>
      <c r="O12" s="25">
        <f t="shared" si="3"/>
        <v>0</v>
      </c>
    </row>
    <row r="13" spans="1:15" ht="21.75" customHeight="1" x14ac:dyDescent="0.25">
      <c r="A13" s="19" t="s">
        <v>9</v>
      </c>
      <c r="B13" s="4">
        <f>273+48</f>
        <v>321</v>
      </c>
      <c r="C13" s="4">
        <f>6+12</f>
        <v>18</v>
      </c>
      <c r="D13" s="4">
        <f t="shared" si="4"/>
        <v>339</v>
      </c>
      <c r="E13" s="14"/>
      <c r="F13" s="7"/>
      <c r="G13" s="8">
        <f>SUM(G4:G12)</f>
        <v>2206</v>
      </c>
      <c r="H13" s="8">
        <f>SUM(H4:H12)</f>
        <v>8</v>
      </c>
      <c r="I13" s="8">
        <f>SUM(I4:I12)</f>
        <v>20</v>
      </c>
      <c r="J13" s="8">
        <f t="shared" si="2"/>
        <v>2234</v>
      </c>
      <c r="L13" s="24"/>
      <c r="M13" s="25">
        <f>SUM(M4:M12)</f>
        <v>96</v>
      </c>
      <c r="N13" s="25">
        <f>SUM(N4:N12)</f>
        <v>98</v>
      </c>
      <c r="O13" s="25">
        <f t="shared" si="3"/>
        <v>194</v>
      </c>
    </row>
    <row r="14" spans="1:15" ht="21.75" customHeight="1" x14ac:dyDescent="0.25">
      <c r="A14" s="19" t="s">
        <v>10</v>
      </c>
      <c r="B14" s="4">
        <v>444</v>
      </c>
      <c r="C14" s="4">
        <f>13+59</f>
        <v>72</v>
      </c>
      <c r="D14" s="4">
        <f t="shared" si="4"/>
        <v>516</v>
      </c>
      <c r="E14" s="14"/>
      <c r="L14" s="13"/>
      <c r="M14" s="14"/>
      <c r="N14" s="14"/>
      <c r="O14" s="14"/>
    </row>
    <row r="15" spans="1:15" ht="21.75" customHeight="1" x14ac:dyDescent="0.3">
      <c r="A15" s="19" t="s">
        <v>11</v>
      </c>
      <c r="B15" s="4">
        <f>247+51</f>
        <v>298</v>
      </c>
      <c r="C15" s="4">
        <f>15+8</f>
        <v>23</v>
      </c>
      <c r="D15" s="4">
        <f t="shared" si="4"/>
        <v>321</v>
      </c>
      <c r="E15" s="14"/>
      <c r="F15" s="69" t="s">
        <v>23</v>
      </c>
      <c r="G15" s="70"/>
      <c r="H15" s="70"/>
      <c r="I15" s="70"/>
      <c r="J15" s="71"/>
    </row>
    <row r="16" spans="1:15" ht="21.75" customHeight="1" x14ac:dyDescent="0.25">
      <c r="A16" s="19" t="s">
        <v>12</v>
      </c>
      <c r="B16" s="4">
        <v>681</v>
      </c>
      <c r="C16" s="4">
        <f>10+83</f>
        <v>93</v>
      </c>
      <c r="D16" s="4">
        <f t="shared" si="4"/>
        <v>774</v>
      </c>
      <c r="E16" s="14"/>
      <c r="F16" s="9"/>
      <c r="G16" s="10" t="s">
        <v>16</v>
      </c>
      <c r="H16" s="10" t="s">
        <v>14</v>
      </c>
      <c r="I16" s="10" t="s">
        <v>15</v>
      </c>
      <c r="J16" s="10"/>
    </row>
    <row r="17" spans="1:10" ht="21.75" customHeight="1" x14ac:dyDescent="0.25">
      <c r="A17" s="19" t="s">
        <v>13</v>
      </c>
      <c r="B17" s="4">
        <v>30</v>
      </c>
      <c r="C17" s="4">
        <f>0+4</f>
        <v>4</v>
      </c>
      <c r="D17" s="4">
        <f t="shared" si="4"/>
        <v>34</v>
      </c>
      <c r="E17" s="14"/>
      <c r="F17" s="9" t="s">
        <v>0</v>
      </c>
      <c r="G17" s="10">
        <v>241</v>
      </c>
      <c r="H17" s="10">
        <v>6</v>
      </c>
      <c r="I17" s="10">
        <v>3</v>
      </c>
      <c r="J17" s="10">
        <f>SUM(G17:I17)</f>
        <v>250</v>
      </c>
    </row>
    <row r="18" spans="1:10" ht="21.75" customHeight="1" x14ac:dyDescent="0.25">
      <c r="A18" s="20"/>
      <c r="B18" s="5">
        <f>SUM(B8:B17)</f>
        <v>6716</v>
      </c>
      <c r="C18" s="5">
        <f>SUM(C9:C17)</f>
        <v>626</v>
      </c>
      <c r="D18" s="4">
        <f t="shared" si="4"/>
        <v>7342</v>
      </c>
      <c r="E18" s="14"/>
      <c r="F18" s="9" t="s">
        <v>17</v>
      </c>
      <c r="G18" s="10">
        <v>1051</v>
      </c>
      <c r="H18" s="10">
        <v>38</v>
      </c>
      <c r="I18" s="10">
        <v>35</v>
      </c>
      <c r="J18" s="10">
        <f>SUM(G18:I18)</f>
        <v>1124</v>
      </c>
    </row>
    <row r="19" spans="1:10" ht="21.75" customHeight="1" x14ac:dyDescent="0.25">
      <c r="B19" s="64"/>
      <c r="C19" s="64"/>
      <c r="D19" s="22"/>
      <c r="E19" s="22"/>
      <c r="F19" s="9"/>
      <c r="G19" s="10">
        <f>SUM(G17:G18)</f>
        <v>1292</v>
      </c>
      <c r="H19" s="10">
        <f t="shared" ref="H19:I19" si="5">SUM(H17:H18)</f>
        <v>44</v>
      </c>
      <c r="I19" s="10">
        <f t="shared" si="5"/>
        <v>38</v>
      </c>
      <c r="J19" s="10">
        <f>SUM(J17:J18)</f>
        <v>1374</v>
      </c>
    </row>
    <row r="20" spans="1:10" ht="21.75" customHeight="1" x14ac:dyDescent="0.25">
      <c r="A20" s="23" t="s">
        <v>19</v>
      </c>
      <c r="B20" s="56">
        <f>630+7</f>
        <v>637</v>
      </c>
      <c r="C20" s="56"/>
      <c r="D20" s="14"/>
      <c r="E20" s="14"/>
      <c r="F20" s="13"/>
      <c r="G20" s="14"/>
      <c r="H20" s="14"/>
      <c r="I20" s="14"/>
      <c r="J20" s="14"/>
    </row>
    <row r="21" spans="1:10" ht="21.75" customHeight="1" x14ac:dyDescent="0.3">
      <c r="A21" s="23" t="s">
        <v>2</v>
      </c>
      <c r="B21" s="56">
        <f>6+8</f>
        <v>14</v>
      </c>
      <c r="C21" s="56"/>
      <c r="D21" s="14"/>
      <c r="E21" s="14"/>
      <c r="F21" s="26" t="s">
        <v>20</v>
      </c>
      <c r="G21" s="26"/>
    </row>
    <row r="22" spans="1:10" ht="21.75" customHeight="1" x14ac:dyDescent="0.25">
      <c r="F22" s="11" t="s">
        <v>0</v>
      </c>
      <c r="G22" s="12">
        <v>15</v>
      </c>
    </row>
    <row r="23" spans="1:10" ht="21.75" customHeight="1" x14ac:dyDescent="0.25">
      <c r="A23" s="3" t="s">
        <v>21</v>
      </c>
      <c r="B23" s="2">
        <f>SUM(B4+D18+B20+B21+J13+J19+G24+O13)</f>
        <v>13675</v>
      </c>
      <c r="F23" s="11" t="s">
        <v>17</v>
      </c>
      <c r="G23" s="12">
        <v>46</v>
      </c>
    </row>
    <row r="24" spans="1:10" ht="21.75" customHeight="1" x14ac:dyDescent="0.25">
      <c r="F24" s="1"/>
      <c r="G24" s="12">
        <f>SUM(G22:G23)</f>
        <v>61</v>
      </c>
    </row>
    <row r="25" spans="1:10" ht="21.75" customHeight="1" x14ac:dyDescent="0.25"/>
  </sheetData>
  <mergeCells count="9">
    <mergeCell ref="B19:C19"/>
    <mergeCell ref="B20:C20"/>
    <mergeCell ref="B21:C21"/>
    <mergeCell ref="A1:O1"/>
    <mergeCell ref="A2:C2"/>
    <mergeCell ref="F2:J2"/>
    <mergeCell ref="L2:O2"/>
    <mergeCell ref="A6:D6"/>
    <mergeCell ref="F15:J15"/>
  </mergeCells>
  <pageMargins left="0.7" right="0.7" top="0.4" bottom="0.57999999999999996" header="0.3" footer="0.3"/>
  <pageSetup paperSize="9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25"/>
  <sheetViews>
    <sheetView workbookViewId="0">
      <selection activeCell="Q8" sqref="Q8"/>
    </sheetView>
  </sheetViews>
  <sheetFormatPr defaultRowHeight="15" x14ac:dyDescent="0.25"/>
  <cols>
    <col min="1" max="1" width="14.5703125" bestFit="1" customWidth="1"/>
    <col min="2" max="2" width="6.7109375" bestFit="1" customWidth="1"/>
    <col min="3" max="3" width="7.42578125" customWidth="1"/>
    <col min="4" max="4" width="7.140625" customWidth="1"/>
    <col min="5" max="5" width="3.42578125" customWidth="1"/>
    <col min="6" max="6" width="9.140625" customWidth="1"/>
    <col min="7" max="7" width="7.42578125" customWidth="1"/>
    <col min="8" max="8" width="6.85546875" customWidth="1"/>
    <col min="9" max="9" width="7.28515625" customWidth="1"/>
    <col min="10" max="10" width="6.85546875" customWidth="1"/>
    <col min="11" max="11" width="4.28515625" customWidth="1"/>
    <col min="13" max="13" width="7.7109375" customWidth="1"/>
    <col min="14" max="14" width="7.42578125" customWidth="1"/>
    <col min="15" max="15" width="5.85546875" customWidth="1"/>
  </cols>
  <sheetData>
    <row r="1" spans="1:15" ht="23.25" x14ac:dyDescent="0.35">
      <c r="A1" s="58">
        <v>43392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</row>
    <row r="2" spans="1:15" ht="21.75" customHeight="1" x14ac:dyDescent="0.3">
      <c r="A2" s="60" t="s">
        <v>24</v>
      </c>
      <c r="B2" s="60"/>
      <c r="C2" s="60"/>
      <c r="D2" s="16"/>
      <c r="E2" s="16"/>
      <c r="F2" s="61" t="s">
        <v>22</v>
      </c>
      <c r="G2" s="61"/>
      <c r="H2" s="61"/>
      <c r="I2" s="61"/>
      <c r="J2" s="61"/>
      <c r="L2" s="65" t="s">
        <v>26</v>
      </c>
      <c r="M2" s="65"/>
      <c r="N2" s="65"/>
      <c r="O2" s="65"/>
    </row>
    <row r="3" spans="1:15" ht="21.75" customHeight="1" x14ac:dyDescent="0.25">
      <c r="A3" s="3"/>
      <c r="B3" s="2" t="s">
        <v>4</v>
      </c>
      <c r="C3" s="2" t="s">
        <v>5</v>
      </c>
      <c r="D3" s="14"/>
      <c r="E3" s="14"/>
      <c r="F3" s="7"/>
      <c r="G3" s="8" t="s">
        <v>16</v>
      </c>
      <c r="H3" s="8" t="s">
        <v>14</v>
      </c>
      <c r="I3" s="8" t="s">
        <v>15</v>
      </c>
      <c r="J3" s="8"/>
      <c r="L3" s="24"/>
      <c r="M3" s="25" t="s">
        <v>4</v>
      </c>
      <c r="N3" s="25" t="s">
        <v>5</v>
      </c>
      <c r="O3" s="25"/>
    </row>
    <row r="4" spans="1:15" ht="21.75" customHeight="1" x14ac:dyDescent="0.25">
      <c r="A4" s="3" t="s">
        <v>0</v>
      </c>
      <c r="B4" s="2">
        <f>1635+183+29+1</f>
        <v>1848</v>
      </c>
      <c r="C4" s="2"/>
      <c r="D4" s="14"/>
      <c r="E4" s="14"/>
      <c r="F4" s="7" t="s">
        <v>0</v>
      </c>
      <c r="G4" s="8">
        <v>302</v>
      </c>
      <c r="H4" s="8">
        <v>1</v>
      </c>
      <c r="I4" s="8">
        <v>4</v>
      </c>
      <c r="J4" s="8">
        <f>SUM(G4:I4)</f>
        <v>307</v>
      </c>
      <c r="L4" s="24" t="s">
        <v>0</v>
      </c>
      <c r="M4" s="25">
        <f>55+7</f>
        <v>62</v>
      </c>
      <c r="N4" s="25">
        <v>0</v>
      </c>
      <c r="O4" s="25">
        <f>SUM(M4:N4)</f>
        <v>62</v>
      </c>
    </row>
    <row r="5" spans="1:15" ht="21.75" customHeight="1" x14ac:dyDescent="0.25">
      <c r="A5" s="13"/>
      <c r="B5" s="14"/>
      <c r="C5" s="14"/>
      <c r="D5" s="14"/>
      <c r="E5" s="14"/>
      <c r="F5" s="7" t="s">
        <v>17</v>
      </c>
      <c r="G5" s="8">
        <v>1687</v>
      </c>
      <c r="H5" s="8">
        <v>6</v>
      </c>
      <c r="I5" s="8">
        <v>16</v>
      </c>
      <c r="J5" s="8">
        <f t="shared" ref="J5:J13" si="0">SUM(G5:I5)</f>
        <v>1709</v>
      </c>
      <c r="L5" s="24" t="s">
        <v>17</v>
      </c>
      <c r="M5" s="25">
        <f>41+3</f>
        <v>44</v>
      </c>
      <c r="N5" s="25">
        <v>21</v>
      </c>
      <c r="O5" s="25">
        <f t="shared" ref="O5:O13" si="1">SUM(M5:N5)</f>
        <v>65</v>
      </c>
    </row>
    <row r="6" spans="1:15" ht="21.75" customHeight="1" x14ac:dyDescent="0.3">
      <c r="A6" s="66" t="s">
        <v>25</v>
      </c>
      <c r="B6" s="67"/>
      <c r="C6" s="67"/>
      <c r="D6" s="68"/>
      <c r="E6" s="17"/>
      <c r="F6" s="7" t="s">
        <v>6</v>
      </c>
      <c r="G6" s="8">
        <v>4</v>
      </c>
      <c r="H6" s="8">
        <v>1</v>
      </c>
      <c r="I6" s="8"/>
      <c r="J6" s="8">
        <f t="shared" si="0"/>
        <v>5</v>
      </c>
      <c r="L6" s="24" t="s">
        <v>6</v>
      </c>
      <c r="M6" s="25">
        <v>0</v>
      </c>
      <c r="N6" s="25">
        <f>28+2</f>
        <v>30</v>
      </c>
      <c r="O6" s="25">
        <f t="shared" si="1"/>
        <v>30</v>
      </c>
    </row>
    <row r="7" spans="1:15" ht="21.75" customHeight="1" x14ac:dyDescent="0.3">
      <c r="A7" s="30"/>
      <c r="B7" s="30" t="s">
        <v>4</v>
      </c>
      <c r="C7" s="30" t="s">
        <v>5</v>
      </c>
      <c r="D7" s="30"/>
      <c r="E7" s="17"/>
      <c r="F7" s="7" t="s">
        <v>8</v>
      </c>
      <c r="G7" s="8">
        <v>37</v>
      </c>
      <c r="H7" s="8"/>
      <c r="I7" s="8"/>
      <c r="J7" s="8">
        <f t="shared" si="0"/>
        <v>37</v>
      </c>
      <c r="L7" s="24" t="s">
        <v>8</v>
      </c>
      <c r="M7" s="25">
        <v>0</v>
      </c>
      <c r="N7" s="25">
        <v>2</v>
      </c>
      <c r="O7" s="25">
        <f t="shared" si="1"/>
        <v>2</v>
      </c>
    </row>
    <row r="8" spans="1:15" ht="21.75" customHeight="1" x14ac:dyDescent="0.25">
      <c r="A8" s="19" t="s">
        <v>1</v>
      </c>
      <c r="B8" s="4">
        <f>2999+356+19</f>
        <v>3374</v>
      </c>
      <c r="C8" s="4"/>
      <c r="D8" s="4">
        <f>SUM(B8:C8)</f>
        <v>3374</v>
      </c>
      <c r="E8" s="14"/>
      <c r="F8" s="7" t="s">
        <v>9</v>
      </c>
      <c r="G8" s="8">
        <v>35</v>
      </c>
      <c r="H8" s="8"/>
      <c r="I8" s="8"/>
      <c r="J8" s="8">
        <f t="shared" si="0"/>
        <v>35</v>
      </c>
      <c r="L8" s="24" t="s">
        <v>9</v>
      </c>
      <c r="M8" s="25">
        <v>0</v>
      </c>
      <c r="N8" s="25">
        <f>22+3</f>
        <v>25</v>
      </c>
      <c r="O8" s="25">
        <f t="shared" si="1"/>
        <v>25</v>
      </c>
    </row>
    <row r="9" spans="1:15" ht="21.75" customHeight="1" x14ac:dyDescent="0.25">
      <c r="A9" s="19" t="s">
        <v>3</v>
      </c>
      <c r="B9" s="4">
        <f>7+4</f>
        <v>11</v>
      </c>
      <c r="C9" s="4">
        <f>48+14+3</f>
        <v>65</v>
      </c>
      <c r="D9" s="4">
        <f t="shared" ref="D9:D18" si="2">SUM(B9:C9)</f>
        <v>76</v>
      </c>
      <c r="E9" s="14"/>
      <c r="F9" s="7" t="s">
        <v>18</v>
      </c>
      <c r="G9" s="8">
        <v>61</v>
      </c>
      <c r="H9" s="8"/>
      <c r="I9" s="8"/>
      <c r="J9" s="8">
        <f t="shared" si="0"/>
        <v>61</v>
      </c>
      <c r="L9" s="24" t="s">
        <v>18</v>
      </c>
      <c r="M9" s="25">
        <v>0</v>
      </c>
      <c r="N9" s="25">
        <f>7+1</f>
        <v>8</v>
      </c>
      <c r="O9" s="25">
        <f t="shared" si="1"/>
        <v>8</v>
      </c>
    </row>
    <row r="10" spans="1:15" ht="21.75" customHeight="1" x14ac:dyDescent="0.25">
      <c r="A10" s="19" t="s">
        <v>6</v>
      </c>
      <c r="B10" s="4">
        <f>367+37+3</f>
        <v>407</v>
      </c>
      <c r="C10" s="4">
        <f>13+13+2</f>
        <v>28</v>
      </c>
      <c r="D10" s="4">
        <f t="shared" si="2"/>
        <v>435</v>
      </c>
      <c r="E10" s="14"/>
      <c r="F10" s="7" t="s">
        <v>11</v>
      </c>
      <c r="G10" s="8">
        <v>46</v>
      </c>
      <c r="H10" s="8"/>
      <c r="I10" s="8"/>
      <c r="J10" s="8">
        <f t="shared" si="0"/>
        <v>46</v>
      </c>
      <c r="L10" s="24" t="s">
        <v>11</v>
      </c>
      <c r="M10" s="25">
        <v>0</v>
      </c>
      <c r="N10" s="25">
        <f>17+1</f>
        <v>18</v>
      </c>
      <c r="O10" s="25">
        <f t="shared" si="1"/>
        <v>18</v>
      </c>
    </row>
    <row r="11" spans="1:15" ht="21.75" customHeight="1" x14ac:dyDescent="0.25">
      <c r="A11" s="19" t="s">
        <v>7</v>
      </c>
      <c r="B11" s="4">
        <f>17+1</f>
        <v>18</v>
      </c>
      <c r="C11" s="4">
        <f>162+21+5</f>
        <v>188</v>
      </c>
      <c r="D11" s="4">
        <f t="shared" si="2"/>
        <v>206</v>
      </c>
      <c r="E11" s="14"/>
      <c r="F11" s="7" t="s">
        <v>12</v>
      </c>
      <c r="G11" s="8">
        <v>33</v>
      </c>
      <c r="H11" s="8"/>
      <c r="I11" s="8"/>
      <c r="J11" s="8">
        <f t="shared" si="0"/>
        <v>33</v>
      </c>
      <c r="L11" s="24" t="s">
        <v>12</v>
      </c>
      <c r="M11" s="25">
        <v>0</v>
      </c>
      <c r="N11" s="25">
        <v>1</v>
      </c>
      <c r="O11" s="25">
        <f t="shared" si="1"/>
        <v>1</v>
      </c>
    </row>
    <row r="12" spans="1:15" ht="21.75" customHeight="1" x14ac:dyDescent="0.25">
      <c r="A12" s="19" t="s">
        <v>8</v>
      </c>
      <c r="B12" s="4">
        <f>1154+0</f>
        <v>1154</v>
      </c>
      <c r="C12" s="4">
        <f>9+136+10</f>
        <v>155</v>
      </c>
      <c r="D12" s="4">
        <f t="shared" si="2"/>
        <v>1309</v>
      </c>
      <c r="E12" s="14"/>
      <c r="F12" s="7" t="s">
        <v>13</v>
      </c>
      <c r="G12" s="8">
        <v>1</v>
      </c>
      <c r="H12" s="8"/>
      <c r="I12" s="8"/>
      <c r="J12" s="8">
        <f t="shared" si="0"/>
        <v>1</v>
      </c>
      <c r="L12" s="24" t="s">
        <v>13</v>
      </c>
      <c r="M12" s="25">
        <v>0</v>
      </c>
      <c r="N12" s="25">
        <v>0</v>
      </c>
      <c r="O12" s="25">
        <f t="shared" si="1"/>
        <v>0</v>
      </c>
    </row>
    <row r="13" spans="1:15" ht="21.75" customHeight="1" x14ac:dyDescent="0.25">
      <c r="A13" s="19" t="s">
        <v>9</v>
      </c>
      <c r="B13" s="4">
        <f>273+48+4</f>
        <v>325</v>
      </c>
      <c r="C13" s="4">
        <f>6+12+2</f>
        <v>20</v>
      </c>
      <c r="D13" s="4">
        <f t="shared" si="2"/>
        <v>345</v>
      </c>
      <c r="E13" s="14"/>
      <c r="F13" s="7"/>
      <c r="G13" s="8">
        <f>SUM(G4:G12)</f>
        <v>2206</v>
      </c>
      <c r="H13" s="8">
        <f>SUM(H4:H12)</f>
        <v>8</v>
      </c>
      <c r="I13" s="8">
        <f>SUM(I4:I12)</f>
        <v>20</v>
      </c>
      <c r="J13" s="8">
        <f t="shared" si="0"/>
        <v>2234</v>
      </c>
      <c r="L13" s="24"/>
      <c r="M13" s="25">
        <f>SUM(M4:M12)</f>
        <v>106</v>
      </c>
      <c r="N13" s="25">
        <f>SUM(N4:N12)</f>
        <v>105</v>
      </c>
      <c r="O13" s="25">
        <f t="shared" si="1"/>
        <v>211</v>
      </c>
    </row>
    <row r="14" spans="1:15" ht="21.75" customHeight="1" x14ac:dyDescent="0.25">
      <c r="A14" s="19" t="s">
        <v>10</v>
      </c>
      <c r="B14" s="4">
        <v>444</v>
      </c>
      <c r="C14" s="4">
        <f>13+59+8</f>
        <v>80</v>
      </c>
      <c r="D14" s="4">
        <f t="shared" si="2"/>
        <v>524</v>
      </c>
      <c r="E14" s="14"/>
      <c r="L14" s="13"/>
      <c r="M14" s="14"/>
      <c r="N14" s="14"/>
      <c r="O14" s="14"/>
    </row>
    <row r="15" spans="1:15" ht="21.75" customHeight="1" x14ac:dyDescent="0.3">
      <c r="A15" s="19" t="s">
        <v>11</v>
      </c>
      <c r="B15" s="4">
        <f>247+51+5</f>
        <v>303</v>
      </c>
      <c r="C15" s="4">
        <f>15+8+2</f>
        <v>25</v>
      </c>
      <c r="D15" s="4">
        <f t="shared" si="2"/>
        <v>328</v>
      </c>
      <c r="E15" s="14"/>
      <c r="F15" s="69" t="s">
        <v>23</v>
      </c>
      <c r="G15" s="70"/>
      <c r="H15" s="70"/>
      <c r="I15" s="70"/>
      <c r="J15" s="71"/>
    </row>
    <row r="16" spans="1:15" ht="21.75" customHeight="1" x14ac:dyDescent="0.25">
      <c r="A16" s="19" t="s">
        <v>12</v>
      </c>
      <c r="B16" s="4">
        <v>681</v>
      </c>
      <c r="C16" s="4">
        <f>10+83+14</f>
        <v>107</v>
      </c>
      <c r="D16" s="4">
        <f t="shared" si="2"/>
        <v>788</v>
      </c>
      <c r="E16" s="14"/>
      <c r="F16" s="9"/>
      <c r="G16" s="10" t="s">
        <v>16</v>
      </c>
      <c r="H16" s="10" t="s">
        <v>14</v>
      </c>
      <c r="I16" s="10" t="s">
        <v>15</v>
      </c>
      <c r="J16" s="10"/>
    </row>
    <row r="17" spans="1:10" ht="21.75" customHeight="1" x14ac:dyDescent="0.25">
      <c r="A17" s="19" t="s">
        <v>13</v>
      </c>
      <c r="B17" s="4">
        <v>30</v>
      </c>
      <c r="C17" s="4">
        <f>0+4</f>
        <v>4</v>
      </c>
      <c r="D17" s="4">
        <f t="shared" si="2"/>
        <v>34</v>
      </c>
      <c r="E17" s="14"/>
      <c r="F17" s="9" t="s">
        <v>0</v>
      </c>
      <c r="G17" s="10">
        <v>241</v>
      </c>
      <c r="H17" s="10">
        <v>6</v>
      </c>
      <c r="I17" s="10">
        <v>3</v>
      </c>
      <c r="J17" s="10">
        <f>SUM(G17:I17)</f>
        <v>250</v>
      </c>
    </row>
    <row r="18" spans="1:10" ht="21.75" customHeight="1" x14ac:dyDescent="0.25">
      <c r="A18" s="20"/>
      <c r="B18" s="5">
        <f>SUM(B8:B17)</f>
        <v>6747</v>
      </c>
      <c r="C18" s="5">
        <f>SUM(C9:C17)</f>
        <v>672</v>
      </c>
      <c r="D18" s="4">
        <f t="shared" si="2"/>
        <v>7419</v>
      </c>
      <c r="E18" s="14"/>
      <c r="F18" s="9" t="s">
        <v>17</v>
      </c>
      <c r="G18" s="10">
        <v>1051</v>
      </c>
      <c r="H18" s="10">
        <v>38</v>
      </c>
      <c r="I18" s="10">
        <v>35</v>
      </c>
      <c r="J18" s="10">
        <f>SUM(G18:I18)</f>
        <v>1124</v>
      </c>
    </row>
    <row r="19" spans="1:10" ht="21.75" customHeight="1" x14ac:dyDescent="0.25">
      <c r="B19" s="64"/>
      <c r="C19" s="64"/>
      <c r="D19" s="31"/>
      <c r="E19" s="31"/>
      <c r="F19" s="9"/>
      <c r="G19" s="10">
        <f>SUM(G17:G18)</f>
        <v>1292</v>
      </c>
      <c r="H19" s="10">
        <f t="shared" ref="H19:I19" si="3">SUM(H17:H18)</f>
        <v>44</v>
      </c>
      <c r="I19" s="10">
        <f t="shared" si="3"/>
        <v>38</v>
      </c>
      <c r="J19" s="10">
        <f>SUM(J17:J18)</f>
        <v>1374</v>
      </c>
    </row>
    <row r="20" spans="1:10" ht="21.75" customHeight="1" x14ac:dyDescent="0.25">
      <c r="A20" s="28" t="s">
        <v>19</v>
      </c>
      <c r="B20" s="56">
        <f>630+7</f>
        <v>637</v>
      </c>
      <c r="C20" s="56"/>
      <c r="D20" s="14"/>
      <c r="E20" s="14"/>
      <c r="F20" s="13"/>
      <c r="G20" s="14"/>
      <c r="H20" s="14"/>
      <c r="I20" s="14"/>
      <c r="J20" s="14"/>
    </row>
    <row r="21" spans="1:10" ht="21.75" customHeight="1" x14ac:dyDescent="0.3">
      <c r="A21" s="28" t="s">
        <v>2</v>
      </c>
      <c r="B21" s="56">
        <f>6+8</f>
        <v>14</v>
      </c>
      <c r="C21" s="56"/>
      <c r="D21" s="14"/>
      <c r="E21" s="14"/>
      <c r="F21" s="29" t="s">
        <v>20</v>
      </c>
      <c r="G21" s="29"/>
    </row>
    <row r="22" spans="1:10" ht="21.75" customHeight="1" x14ac:dyDescent="0.25">
      <c r="F22" s="11" t="s">
        <v>0</v>
      </c>
      <c r="G22" s="12">
        <v>15</v>
      </c>
    </row>
    <row r="23" spans="1:10" ht="21.75" customHeight="1" x14ac:dyDescent="0.25">
      <c r="A23" s="3" t="s">
        <v>21</v>
      </c>
      <c r="B23" s="2">
        <f>SUM(B4+D18+B20+B21+J13+J19+G24+O13)</f>
        <v>13798</v>
      </c>
      <c r="F23" s="11" t="s">
        <v>17</v>
      </c>
      <c r="G23" s="12">
        <v>46</v>
      </c>
    </row>
    <row r="24" spans="1:10" ht="21.75" customHeight="1" x14ac:dyDescent="0.25">
      <c r="F24" s="1"/>
      <c r="G24" s="12">
        <f>SUM(G22:G23)</f>
        <v>61</v>
      </c>
    </row>
    <row r="25" spans="1:10" ht="21.75" customHeight="1" x14ac:dyDescent="0.25"/>
  </sheetData>
  <mergeCells count="9">
    <mergeCell ref="B19:C19"/>
    <mergeCell ref="B20:C20"/>
    <mergeCell ref="B21:C21"/>
    <mergeCell ref="A1:O1"/>
    <mergeCell ref="A2:C2"/>
    <mergeCell ref="F2:J2"/>
    <mergeCell ref="L2:O2"/>
    <mergeCell ref="A6:D6"/>
    <mergeCell ref="F15:J15"/>
  </mergeCells>
  <pageMargins left="0.7" right="0.7" top="0.4" bottom="0.57999999999999996" header="0.3" footer="0.3"/>
  <pageSetup paperSize="9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25"/>
  <sheetViews>
    <sheetView workbookViewId="0">
      <selection activeCell="P21" sqref="P21"/>
    </sheetView>
  </sheetViews>
  <sheetFormatPr defaultRowHeight="15" x14ac:dyDescent="0.25"/>
  <cols>
    <col min="1" max="1" width="14.5703125" bestFit="1" customWidth="1"/>
    <col min="2" max="2" width="6.7109375" bestFit="1" customWidth="1"/>
    <col min="3" max="3" width="7.42578125" customWidth="1"/>
    <col min="4" max="4" width="7.140625" customWidth="1"/>
    <col min="5" max="5" width="3.42578125" customWidth="1"/>
    <col min="6" max="6" width="9.140625" customWidth="1"/>
    <col min="7" max="7" width="7.42578125" customWidth="1"/>
    <col min="8" max="8" width="6.85546875" customWidth="1"/>
    <col min="9" max="9" width="7.28515625" customWidth="1"/>
    <col min="10" max="10" width="6.85546875" customWidth="1"/>
    <col min="11" max="11" width="4.28515625" customWidth="1"/>
    <col min="13" max="13" width="7.7109375" customWidth="1"/>
    <col min="14" max="14" width="7.42578125" customWidth="1"/>
    <col min="15" max="15" width="5.85546875" customWidth="1"/>
  </cols>
  <sheetData>
    <row r="1" spans="1:15" ht="23.25" x14ac:dyDescent="0.35">
      <c r="A1" s="58">
        <v>43410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</row>
    <row r="2" spans="1:15" ht="21.75" customHeight="1" x14ac:dyDescent="0.3">
      <c r="A2" s="60" t="s">
        <v>24</v>
      </c>
      <c r="B2" s="60"/>
      <c r="C2" s="60"/>
      <c r="D2" s="16"/>
      <c r="E2" s="16"/>
      <c r="F2" s="61" t="s">
        <v>22</v>
      </c>
      <c r="G2" s="61"/>
      <c r="H2" s="61"/>
      <c r="I2" s="61"/>
      <c r="J2" s="61"/>
      <c r="L2" s="65" t="s">
        <v>26</v>
      </c>
      <c r="M2" s="65"/>
      <c r="N2" s="65"/>
      <c r="O2" s="65"/>
    </row>
    <row r="3" spans="1:15" ht="21.75" customHeight="1" x14ac:dyDescent="0.25">
      <c r="A3" s="3"/>
      <c r="B3" s="2" t="s">
        <v>4</v>
      </c>
      <c r="C3" s="2" t="s">
        <v>5</v>
      </c>
      <c r="D3" s="14"/>
      <c r="E3" s="14"/>
      <c r="F3" s="7"/>
      <c r="G3" s="8" t="s">
        <v>16</v>
      </c>
      <c r="H3" s="8" t="s">
        <v>14</v>
      </c>
      <c r="I3" s="8" t="s">
        <v>15</v>
      </c>
      <c r="J3" s="8"/>
      <c r="L3" s="24"/>
      <c r="M3" s="25" t="s">
        <v>4</v>
      </c>
      <c r="N3" s="25" t="s">
        <v>5</v>
      </c>
      <c r="O3" s="25"/>
    </row>
    <row r="4" spans="1:15" ht="21.75" customHeight="1" x14ac:dyDescent="0.25">
      <c r="A4" s="3" t="s">
        <v>0</v>
      </c>
      <c r="B4" s="2">
        <f>1635+183+29+1</f>
        <v>1848</v>
      </c>
      <c r="C4" s="2"/>
      <c r="D4" s="14"/>
      <c r="E4" s="14"/>
      <c r="F4" s="7" t="s">
        <v>0</v>
      </c>
      <c r="G4" s="8">
        <f>302+68</f>
        <v>370</v>
      </c>
      <c r="H4" s="8">
        <f>1+1</f>
        <v>2</v>
      </c>
      <c r="I4" s="8">
        <f>4+1</f>
        <v>5</v>
      </c>
      <c r="J4" s="8">
        <f>SUM(G4:I4)</f>
        <v>377</v>
      </c>
      <c r="L4" s="24" t="s">
        <v>0</v>
      </c>
      <c r="M4" s="25">
        <f>55+7</f>
        <v>62</v>
      </c>
      <c r="N4" s="25">
        <v>0</v>
      </c>
      <c r="O4" s="25">
        <f>SUM(M4:N4)</f>
        <v>62</v>
      </c>
    </row>
    <row r="5" spans="1:15" ht="21.75" customHeight="1" x14ac:dyDescent="0.25">
      <c r="A5" s="13"/>
      <c r="B5" s="14"/>
      <c r="C5" s="14"/>
      <c r="D5" s="14"/>
      <c r="E5" s="14"/>
      <c r="F5" s="7" t="s">
        <v>17</v>
      </c>
      <c r="G5" s="8">
        <f>1687+270</f>
        <v>1957</v>
      </c>
      <c r="H5" s="8">
        <f>6+2</f>
        <v>8</v>
      </c>
      <c r="I5" s="8">
        <f>16+3</f>
        <v>19</v>
      </c>
      <c r="J5" s="8">
        <f t="shared" ref="J5:J13" si="0">SUM(G5:I5)</f>
        <v>1984</v>
      </c>
      <c r="L5" s="24" t="s">
        <v>17</v>
      </c>
      <c r="M5" s="25">
        <f>41+3</f>
        <v>44</v>
      </c>
      <c r="N5" s="25">
        <v>21</v>
      </c>
      <c r="O5" s="25">
        <f t="shared" ref="O5:O13" si="1">SUM(M5:N5)</f>
        <v>65</v>
      </c>
    </row>
    <row r="6" spans="1:15" ht="21.75" customHeight="1" x14ac:dyDescent="0.3">
      <c r="A6" s="66" t="s">
        <v>25</v>
      </c>
      <c r="B6" s="67"/>
      <c r="C6" s="67"/>
      <c r="D6" s="68"/>
      <c r="E6" s="17"/>
      <c r="F6" s="7" t="s">
        <v>6</v>
      </c>
      <c r="G6" s="8">
        <f>4+1</f>
        <v>5</v>
      </c>
      <c r="H6" s="8">
        <v>1</v>
      </c>
      <c r="I6" s="8"/>
      <c r="J6" s="8">
        <f t="shared" si="0"/>
        <v>6</v>
      </c>
      <c r="L6" s="24" t="s">
        <v>6</v>
      </c>
      <c r="M6" s="25">
        <v>0</v>
      </c>
      <c r="N6" s="25">
        <f>28+2</f>
        <v>30</v>
      </c>
      <c r="O6" s="25">
        <f t="shared" si="1"/>
        <v>30</v>
      </c>
    </row>
    <row r="7" spans="1:15" ht="21.75" customHeight="1" x14ac:dyDescent="0.3">
      <c r="A7" s="34"/>
      <c r="B7" s="34" t="s">
        <v>4</v>
      </c>
      <c r="C7" s="34" t="s">
        <v>5</v>
      </c>
      <c r="D7" s="34"/>
      <c r="E7" s="17"/>
      <c r="F7" s="7" t="s">
        <v>8</v>
      </c>
      <c r="G7" s="8">
        <f>37+1</f>
        <v>38</v>
      </c>
      <c r="H7" s="8"/>
      <c r="I7" s="8"/>
      <c r="J7" s="8">
        <f t="shared" si="0"/>
        <v>38</v>
      </c>
      <c r="L7" s="24" t="s">
        <v>8</v>
      </c>
      <c r="M7" s="25">
        <v>0</v>
      </c>
      <c r="N7" s="25">
        <v>2</v>
      </c>
      <c r="O7" s="25">
        <f t="shared" si="1"/>
        <v>2</v>
      </c>
    </row>
    <row r="8" spans="1:15" ht="21.75" customHeight="1" x14ac:dyDescent="0.25">
      <c r="A8" s="19" t="s">
        <v>1</v>
      </c>
      <c r="B8" s="4">
        <f>2999+356+19</f>
        <v>3374</v>
      </c>
      <c r="C8" s="4"/>
      <c r="D8" s="4">
        <f>SUM(B8:C8)</f>
        <v>3374</v>
      </c>
      <c r="E8" s="14"/>
      <c r="F8" s="7" t="s">
        <v>9</v>
      </c>
      <c r="G8" s="8">
        <f>35+8</f>
        <v>43</v>
      </c>
      <c r="H8" s="8"/>
      <c r="I8" s="8"/>
      <c r="J8" s="8">
        <f t="shared" si="0"/>
        <v>43</v>
      </c>
      <c r="L8" s="24" t="s">
        <v>9</v>
      </c>
      <c r="M8" s="25">
        <v>0</v>
      </c>
      <c r="N8" s="25">
        <f>22+3</f>
        <v>25</v>
      </c>
      <c r="O8" s="25">
        <f t="shared" si="1"/>
        <v>25</v>
      </c>
    </row>
    <row r="9" spans="1:15" ht="21.75" customHeight="1" x14ac:dyDescent="0.25">
      <c r="A9" s="19" t="s">
        <v>3</v>
      </c>
      <c r="B9" s="4">
        <f>7+4</f>
        <v>11</v>
      </c>
      <c r="C9" s="4">
        <f>48+14+3</f>
        <v>65</v>
      </c>
      <c r="D9" s="4">
        <f t="shared" ref="D9:D18" si="2">SUM(B9:C9)</f>
        <v>76</v>
      </c>
      <c r="E9" s="14"/>
      <c r="F9" s="7" t="s">
        <v>18</v>
      </c>
      <c r="G9" s="8">
        <f>61+8</f>
        <v>69</v>
      </c>
      <c r="H9" s="8"/>
      <c r="I9" s="8"/>
      <c r="J9" s="8">
        <f t="shared" si="0"/>
        <v>69</v>
      </c>
      <c r="L9" s="24" t="s">
        <v>18</v>
      </c>
      <c r="M9" s="25">
        <v>0</v>
      </c>
      <c r="N9" s="25">
        <f>7+1</f>
        <v>8</v>
      </c>
      <c r="O9" s="25">
        <f t="shared" si="1"/>
        <v>8</v>
      </c>
    </row>
    <row r="10" spans="1:15" ht="21.75" customHeight="1" x14ac:dyDescent="0.25">
      <c r="A10" s="19" t="s">
        <v>6</v>
      </c>
      <c r="B10" s="4">
        <f>367+37+3</f>
        <v>407</v>
      </c>
      <c r="C10" s="4">
        <f>13+13+2</f>
        <v>28</v>
      </c>
      <c r="D10" s="4">
        <f t="shared" si="2"/>
        <v>435</v>
      </c>
      <c r="E10" s="14"/>
      <c r="F10" s="7" t="s">
        <v>11</v>
      </c>
      <c r="G10" s="8">
        <f>46+7</f>
        <v>53</v>
      </c>
      <c r="H10" s="8"/>
      <c r="I10" s="8"/>
      <c r="J10" s="8">
        <f t="shared" si="0"/>
        <v>53</v>
      </c>
      <c r="L10" s="24" t="s">
        <v>11</v>
      </c>
      <c r="M10" s="25">
        <v>0</v>
      </c>
      <c r="N10" s="25">
        <f>17+1</f>
        <v>18</v>
      </c>
      <c r="O10" s="25">
        <f t="shared" si="1"/>
        <v>18</v>
      </c>
    </row>
    <row r="11" spans="1:15" ht="21.75" customHeight="1" x14ac:dyDescent="0.25">
      <c r="A11" s="19" t="s">
        <v>7</v>
      </c>
      <c r="B11" s="4">
        <f>17+1</f>
        <v>18</v>
      </c>
      <c r="C11" s="4">
        <f>162+21+5</f>
        <v>188</v>
      </c>
      <c r="D11" s="4">
        <f t="shared" si="2"/>
        <v>206</v>
      </c>
      <c r="E11" s="14"/>
      <c r="F11" s="7" t="s">
        <v>12</v>
      </c>
      <c r="G11" s="8">
        <v>33</v>
      </c>
      <c r="H11" s="8"/>
      <c r="I11" s="8"/>
      <c r="J11" s="8">
        <f t="shared" si="0"/>
        <v>33</v>
      </c>
      <c r="L11" s="24" t="s">
        <v>12</v>
      </c>
      <c r="M11" s="25">
        <v>0</v>
      </c>
      <c r="N11" s="25">
        <v>1</v>
      </c>
      <c r="O11" s="25">
        <f t="shared" si="1"/>
        <v>1</v>
      </c>
    </row>
    <row r="12" spans="1:15" ht="21.75" customHeight="1" x14ac:dyDescent="0.25">
      <c r="A12" s="19" t="s">
        <v>8</v>
      </c>
      <c r="B12" s="4">
        <f>1154+0</f>
        <v>1154</v>
      </c>
      <c r="C12" s="4">
        <f>9+136+10</f>
        <v>155</v>
      </c>
      <c r="D12" s="4">
        <f t="shared" si="2"/>
        <v>1309</v>
      </c>
      <c r="E12" s="14"/>
      <c r="F12" s="7" t="s">
        <v>13</v>
      </c>
      <c r="G12" s="8">
        <v>1</v>
      </c>
      <c r="H12" s="8"/>
      <c r="I12" s="8"/>
      <c r="J12" s="8">
        <f t="shared" si="0"/>
        <v>1</v>
      </c>
      <c r="L12" s="24" t="s">
        <v>13</v>
      </c>
      <c r="M12" s="25">
        <v>0</v>
      </c>
      <c r="N12" s="25">
        <v>0</v>
      </c>
      <c r="O12" s="25">
        <f t="shared" si="1"/>
        <v>0</v>
      </c>
    </row>
    <row r="13" spans="1:15" ht="21.75" customHeight="1" x14ac:dyDescent="0.25">
      <c r="A13" s="19" t="s">
        <v>9</v>
      </c>
      <c r="B13" s="4">
        <f>273+48+4</f>
        <v>325</v>
      </c>
      <c r="C13" s="4">
        <f>6+12+2</f>
        <v>20</v>
      </c>
      <c r="D13" s="4">
        <f t="shared" si="2"/>
        <v>345</v>
      </c>
      <c r="E13" s="14"/>
      <c r="F13" s="7"/>
      <c r="G13" s="8">
        <f>SUM(G4:G12)</f>
        <v>2569</v>
      </c>
      <c r="H13" s="8">
        <f>SUM(H4:H12)</f>
        <v>11</v>
      </c>
      <c r="I13" s="8">
        <f>SUM(I4:I12)</f>
        <v>24</v>
      </c>
      <c r="J13" s="8">
        <f t="shared" si="0"/>
        <v>2604</v>
      </c>
      <c r="L13" s="24"/>
      <c r="M13" s="25">
        <f>SUM(M4:M12)</f>
        <v>106</v>
      </c>
      <c r="N13" s="25">
        <f>SUM(N4:N12)</f>
        <v>105</v>
      </c>
      <c r="O13" s="25">
        <f t="shared" si="1"/>
        <v>211</v>
      </c>
    </row>
    <row r="14" spans="1:15" ht="21.75" customHeight="1" x14ac:dyDescent="0.25">
      <c r="A14" s="19" t="s">
        <v>10</v>
      </c>
      <c r="B14" s="4">
        <v>444</v>
      </c>
      <c r="C14" s="4">
        <f>13+59+8</f>
        <v>80</v>
      </c>
      <c r="D14" s="4">
        <f t="shared" si="2"/>
        <v>524</v>
      </c>
      <c r="E14" s="14"/>
      <c r="L14" s="13"/>
      <c r="M14" s="14"/>
      <c r="N14" s="14"/>
      <c r="O14" s="14"/>
    </row>
    <row r="15" spans="1:15" ht="21.75" customHeight="1" x14ac:dyDescent="0.3">
      <c r="A15" s="19" t="s">
        <v>11</v>
      </c>
      <c r="B15" s="4">
        <f>247+51+5</f>
        <v>303</v>
      </c>
      <c r="C15" s="4">
        <f>15+8+2</f>
        <v>25</v>
      </c>
      <c r="D15" s="4">
        <f t="shared" si="2"/>
        <v>328</v>
      </c>
      <c r="E15" s="14"/>
      <c r="F15" s="69" t="s">
        <v>23</v>
      </c>
      <c r="G15" s="70"/>
      <c r="H15" s="70"/>
      <c r="I15" s="70"/>
      <c r="J15" s="71"/>
    </row>
    <row r="16" spans="1:15" ht="21.75" customHeight="1" x14ac:dyDescent="0.25">
      <c r="A16" s="19" t="s">
        <v>12</v>
      </c>
      <c r="B16" s="4">
        <v>681</v>
      </c>
      <c r="C16" s="4">
        <f>10+83+14</f>
        <v>107</v>
      </c>
      <c r="D16" s="4">
        <f t="shared" si="2"/>
        <v>788</v>
      </c>
      <c r="E16" s="14"/>
      <c r="F16" s="9"/>
      <c r="G16" s="10" t="s">
        <v>16</v>
      </c>
      <c r="H16" s="10" t="s">
        <v>14</v>
      </c>
      <c r="I16" s="10" t="s">
        <v>15</v>
      </c>
      <c r="J16" s="10"/>
    </row>
    <row r="17" spans="1:10" ht="21.75" customHeight="1" x14ac:dyDescent="0.25">
      <c r="A17" s="19" t="s">
        <v>13</v>
      </c>
      <c r="B17" s="4">
        <v>30</v>
      </c>
      <c r="C17" s="4">
        <f>0+4</f>
        <v>4</v>
      </c>
      <c r="D17" s="4">
        <f t="shared" si="2"/>
        <v>34</v>
      </c>
      <c r="E17" s="14"/>
      <c r="F17" s="9" t="s">
        <v>0</v>
      </c>
      <c r="G17" s="10">
        <f>241+399</f>
        <v>640</v>
      </c>
      <c r="H17" s="10">
        <v>6</v>
      </c>
      <c r="I17" s="10">
        <f>3+9</f>
        <v>12</v>
      </c>
      <c r="J17" s="10">
        <f>SUM(G17:I17)</f>
        <v>658</v>
      </c>
    </row>
    <row r="18" spans="1:10" ht="21.75" customHeight="1" x14ac:dyDescent="0.25">
      <c r="A18" s="20"/>
      <c r="B18" s="5">
        <f>SUM(B8:B17)</f>
        <v>6747</v>
      </c>
      <c r="C18" s="5">
        <f>SUM(C9:C17)</f>
        <v>672</v>
      </c>
      <c r="D18" s="4">
        <f t="shared" si="2"/>
        <v>7419</v>
      </c>
      <c r="E18" s="14"/>
      <c r="F18" s="9" t="s">
        <v>17</v>
      </c>
      <c r="G18" s="10">
        <f>1051+2019</f>
        <v>3070</v>
      </c>
      <c r="H18" s="10">
        <f>38+12</f>
        <v>50</v>
      </c>
      <c r="I18" s="10">
        <f>35+11</f>
        <v>46</v>
      </c>
      <c r="J18" s="10">
        <f>SUM(G18:I18)</f>
        <v>3166</v>
      </c>
    </row>
    <row r="19" spans="1:10" ht="21.75" customHeight="1" x14ac:dyDescent="0.25">
      <c r="B19" s="64"/>
      <c r="C19" s="64"/>
      <c r="D19" s="35"/>
      <c r="E19" s="35"/>
      <c r="F19" s="9"/>
      <c r="G19" s="10">
        <f>SUM(G17:G18)</f>
        <v>3710</v>
      </c>
      <c r="H19" s="10">
        <f t="shared" ref="H19:I19" si="3">SUM(H17:H18)</f>
        <v>56</v>
      </c>
      <c r="I19" s="10">
        <f t="shared" si="3"/>
        <v>58</v>
      </c>
      <c r="J19" s="10">
        <f>SUM(J17:J18)</f>
        <v>3824</v>
      </c>
    </row>
    <row r="20" spans="1:10" ht="21.75" customHeight="1" x14ac:dyDescent="0.25">
      <c r="A20" s="32" t="s">
        <v>19</v>
      </c>
      <c r="B20" s="56">
        <f>630+7</f>
        <v>637</v>
      </c>
      <c r="C20" s="56"/>
      <c r="D20" s="14"/>
      <c r="E20" s="14"/>
      <c r="F20" s="13"/>
      <c r="G20" s="14"/>
      <c r="H20" s="14"/>
      <c r="I20" s="14"/>
      <c r="J20" s="14"/>
    </row>
    <row r="21" spans="1:10" ht="21.75" customHeight="1" x14ac:dyDescent="0.3">
      <c r="A21" s="32" t="s">
        <v>2</v>
      </c>
      <c r="B21" s="56">
        <f>6+8</f>
        <v>14</v>
      </c>
      <c r="C21" s="56"/>
      <c r="D21" s="14"/>
      <c r="E21" s="14"/>
      <c r="F21" s="33" t="s">
        <v>20</v>
      </c>
      <c r="G21" s="33"/>
    </row>
    <row r="22" spans="1:10" ht="21.75" customHeight="1" x14ac:dyDescent="0.25">
      <c r="F22" s="11" t="s">
        <v>0</v>
      </c>
      <c r="G22" s="12">
        <f>15+6</f>
        <v>21</v>
      </c>
    </row>
    <row r="23" spans="1:10" ht="21.75" customHeight="1" x14ac:dyDescent="0.25">
      <c r="A23" s="3" t="s">
        <v>21</v>
      </c>
      <c r="B23" s="2">
        <f>SUM(B4+D18+B20+B21+J13+J19+G24+O13)</f>
        <v>16630</v>
      </c>
      <c r="F23" s="11" t="s">
        <v>17</v>
      </c>
      <c r="G23" s="12">
        <f>46+6</f>
        <v>52</v>
      </c>
    </row>
    <row r="24" spans="1:10" ht="21.75" customHeight="1" x14ac:dyDescent="0.25">
      <c r="F24" s="1"/>
      <c r="G24" s="12">
        <f>SUM(G22:G23)</f>
        <v>73</v>
      </c>
    </row>
    <row r="25" spans="1:10" ht="21.75" customHeight="1" x14ac:dyDescent="0.25"/>
  </sheetData>
  <mergeCells count="9">
    <mergeCell ref="B19:C19"/>
    <mergeCell ref="B20:C20"/>
    <mergeCell ref="B21:C21"/>
    <mergeCell ref="A1:O1"/>
    <mergeCell ref="A2:C2"/>
    <mergeCell ref="F2:J2"/>
    <mergeCell ref="L2:O2"/>
    <mergeCell ref="A6:D6"/>
    <mergeCell ref="F15:J15"/>
  </mergeCells>
  <pageMargins left="0.7" right="0.7" top="0.4" bottom="0.57999999999999996" header="0.3" footer="0.3"/>
  <pageSetup paperSize="9" orientation="landscape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25"/>
  <sheetViews>
    <sheetView tabSelected="1" workbookViewId="0">
      <selection activeCell="Q17" sqref="Q17"/>
    </sheetView>
  </sheetViews>
  <sheetFormatPr defaultRowHeight="15" x14ac:dyDescent="0.25"/>
  <cols>
    <col min="1" max="1" width="14.5703125" bestFit="1" customWidth="1"/>
    <col min="2" max="2" width="6.7109375" bestFit="1" customWidth="1"/>
    <col min="3" max="3" width="7.42578125" customWidth="1"/>
    <col min="4" max="4" width="7.140625" customWidth="1"/>
    <col min="5" max="5" width="3.42578125" customWidth="1"/>
    <col min="6" max="6" width="9.140625" customWidth="1"/>
    <col min="7" max="7" width="7.42578125" customWidth="1"/>
    <col min="8" max="8" width="6.85546875" customWidth="1"/>
    <col min="9" max="9" width="7.28515625" customWidth="1"/>
    <col min="10" max="10" width="6.85546875" customWidth="1"/>
    <col min="11" max="11" width="4.28515625" customWidth="1"/>
    <col min="13" max="13" width="7.7109375" customWidth="1"/>
    <col min="14" max="14" width="7.42578125" customWidth="1"/>
    <col min="15" max="15" width="5.85546875" customWidth="1"/>
  </cols>
  <sheetData>
    <row r="1" spans="1:15" ht="23.25" x14ac:dyDescent="0.35">
      <c r="A1" s="58">
        <v>43412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</row>
    <row r="2" spans="1:15" ht="21.75" customHeight="1" x14ac:dyDescent="0.3">
      <c r="A2" s="60" t="s">
        <v>24</v>
      </c>
      <c r="B2" s="60"/>
      <c r="C2" s="60"/>
      <c r="D2" s="16"/>
      <c r="E2" s="16"/>
      <c r="F2" s="61" t="s">
        <v>22</v>
      </c>
      <c r="G2" s="61"/>
      <c r="H2" s="61"/>
      <c r="I2" s="61"/>
      <c r="J2" s="61"/>
      <c r="L2" s="65" t="s">
        <v>26</v>
      </c>
      <c r="M2" s="65"/>
      <c r="N2" s="65"/>
      <c r="O2" s="65"/>
    </row>
    <row r="3" spans="1:15" ht="21.75" customHeight="1" x14ac:dyDescent="0.25">
      <c r="A3" s="3"/>
      <c r="B3" s="2" t="s">
        <v>4</v>
      </c>
      <c r="C3" s="2" t="s">
        <v>5</v>
      </c>
      <c r="D3" s="14"/>
      <c r="E3" s="14"/>
      <c r="F3" s="7"/>
      <c r="G3" s="8" t="s">
        <v>16</v>
      </c>
      <c r="H3" s="8" t="s">
        <v>14</v>
      </c>
      <c r="I3" s="8" t="s">
        <v>15</v>
      </c>
      <c r="J3" s="8"/>
      <c r="L3" s="24"/>
      <c r="M3" s="25" t="s">
        <v>4</v>
      </c>
      <c r="N3" s="25" t="s">
        <v>5</v>
      </c>
      <c r="O3" s="25"/>
    </row>
    <row r="4" spans="1:15" ht="21.75" customHeight="1" x14ac:dyDescent="0.25">
      <c r="A4" s="3" t="s">
        <v>0</v>
      </c>
      <c r="B4" s="2">
        <f>1635+183+29+1+53</f>
        <v>1901</v>
      </c>
      <c r="C4" s="2"/>
      <c r="D4" s="14"/>
      <c r="E4" s="14"/>
      <c r="F4" s="7" t="s">
        <v>0</v>
      </c>
      <c r="G4" s="8">
        <f>302+68</f>
        <v>370</v>
      </c>
      <c r="H4" s="8">
        <f>1+1</f>
        <v>2</v>
      </c>
      <c r="I4" s="8">
        <f>4+1</f>
        <v>5</v>
      </c>
      <c r="J4" s="8">
        <f>SUM(G4:I4)</f>
        <v>377</v>
      </c>
      <c r="L4" s="24" t="s">
        <v>0</v>
      </c>
      <c r="M4" s="25">
        <f>55+7</f>
        <v>62</v>
      </c>
      <c r="N4" s="25">
        <v>0</v>
      </c>
      <c r="O4" s="25">
        <f>SUM(M4:N4)</f>
        <v>62</v>
      </c>
    </row>
    <row r="5" spans="1:15" ht="21.75" customHeight="1" x14ac:dyDescent="0.25">
      <c r="A5" s="13"/>
      <c r="B5" s="14"/>
      <c r="C5" s="14"/>
      <c r="D5" s="14"/>
      <c r="E5" s="14"/>
      <c r="F5" s="7" t="s">
        <v>17</v>
      </c>
      <c r="G5" s="8">
        <f>1687+270+6</f>
        <v>1963</v>
      </c>
      <c r="H5" s="8">
        <f>6+2</f>
        <v>8</v>
      </c>
      <c r="I5" s="8">
        <f>16+3</f>
        <v>19</v>
      </c>
      <c r="J5" s="8">
        <f t="shared" ref="J5:J13" si="0">SUM(G5:I5)</f>
        <v>1990</v>
      </c>
      <c r="L5" s="24" t="s">
        <v>17</v>
      </c>
      <c r="M5" s="25">
        <f>41+3</f>
        <v>44</v>
      </c>
      <c r="N5" s="25">
        <v>21</v>
      </c>
      <c r="O5" s="25">
        <f t="shared" ref="O5:O13" si="1">SUM(M5:N5)</f>
        <v>65</v>
      </c>
    </row>
    <row r="6" spans="1:15" ht="21.75" customHeight="1" x14ac:dyDescent="0.3">
      <c r="A6" s="66" t="s">
        <v>25</v>
      </c>
      <c r="B6" s="67"/>
      <c r="C6" s="67"/>
      <c r="D6" s="68"/>
      <c r="E6" s="17"/>
      <c r="F6" s="7" t="s">
        <v>6</v>
      </c>
      <c r="G6" s="8">
        <f>4+1</f>
        <v>5</v>
      </c>
      <c r="H6" s="8">
        <v>1</v>
      </c>
      <c r="I6" s="8"/>
      <c r="J6" s="8">
        <f t="shared" si="0"/>
        <v>6</v>
      </c>
      <c r="L6" s="24" t="s">
        <v>6</v>
      </c>
      <c r="M6" s="25">
        <v>0</v>
      </c>
      <c r="N6" s="25">
        <f>28+2</f>
        <v>30</v>
      </c>
      <c r="O6" s="25">
        <f t="shared" si="1"/>
        <v>30</v>
      </c>
    </row>
    <row r="7" spans="1:15" ht="21.75" customHeight="1" x14ac:dyDescent="0.3">
      <c r="A7" s="34"/>
      <c r="B7" s="34" t="s">
        <v>4</v>
      </c>
      <c r="C7" s="34" t="s">
        <v>5</v>
      </c>
      <c r="D7" s="34"/>
      <c r="E7" s="17"/>
      <c r="F7" s="7" t="s">
        <v>8</v>
      </c>
      <c r="G7" s="8">
        <f>37+1</f>
        <v>38</v>
      </c>
      <c r="H7" s="8"/>
      <c r="I7" s="8"/>
      <c r="J7" s="8">
        <f t="shared" si="0"/>
        <v>38</v>
      </c>
      <c r="L7" s="24" t="s">
        <v>8</v>
      </c>
      <c r="M7" s="25">
        <v>0</v>
      </c>
      <c r="N7" s="25">
        <v>2</v>
      </c>
      <c r="O7" s="25">
        <f t="shared" si="1"/>
        <v>2</v>
      </c>
    </row>
    <row r="8" spans="1:15" ht="21.75" customHeight="1" x14ac:dyDescent="0.25">
      <c r="A8" s="19" t="s">
        <v>1</v>
      </c>
      <c r="B8" s="4">
        <f>2999+356+19+137+1</f>
        <v>3512</v>
      </c>
      <c r="C8" s="4"/>
      <c r="D8" s="4">
        <f>SUM(B8:C8)</f>
        <v>3512</v>
      </c>
      <c r="E8" s="14"/>
      <c r="F8" s="7" t="s">
        <v>9</v>
      </c>
      <c r="G8" s="8">
        <f>35+8</f>
        <v>43</v>
      </c>
      <c r="H8" s="8"/>
      <c r="I8" s="8"/>
      <c r="J8" s="8">
        <f t="shared" si="0"/>
        <v>43</v>
      </c>
      <c r="L8" s="24" t="s">
        <v>9</v>
      </c>
      <c r="M8" s="25">
        <v>0</v>
      </c>
      <c r="N8" s="25">
        <f>22+3</f>
        <v>25</v>
      </c>
      <c r="O8" s="25">
        <f t="shared" si="1"/>
        <v>25</v>
      </c>
    </row>
    <row r="9" spans="1:15" ht="21.75" customHeight="1" x14ac:dyDescent="0.25">
      <c r="A9" s="19" t="s">
        <v>3</v>
      </c>
      <c r="B9" s="4">
        <f>7+4</f>
        <v>11</v>
      </c>
      <c r="C9" s="4">
        <f>48+14+3+16</f>
        <v>81</v>
      </c>
      <c r="D9" s="4">
        <f t="shared" ref="D9:D18" si="2">SUM(B9:C9)</f>
        <v>92</v>
      </c>
      <c r="E9" s="14"/>
      <c r="F9" s="7" t="s">
        <v>18</v>
      </c>
      <c r="G9" s="8">
        <f>61+8</f>
        <v>69</v>
      </c>
      <c r="H9" s="8"/>
      <c r="I9" s="8"/>
      <c r="J9" s="8">
        <f t="shared" si="0"/>
        <v>69</v>
      </c>
      <c r="L9" s="24" t="s">
        <v>18</v>
      </c>
      <c r="M9" s="25">
        <v>0</v>
      </c>
      <c r="N9" s="25">
        <f>7+1</f>
        <v>8</v>
      </c>
      <c r="O9" s="25">
        <f t="shared" si="1"/>
        <v>8</v>
      </c>
    </row>
    <row r="10" spans="1:15" ht="21.75" customHeight="1" x14ac:dyDescent="0.25">
      <c r="A10" s="19" t="s">
        <v>6</v>
      </c>
      <c r="B10" s="4">
        <f>367+37+3+37</f>
        <v>444</v>
      </c>
      <c r="C10" s="4">
        <f>13+13+2+17</f>
        <v>45</v>
      </c>
      <c r="D10" s="4">
        <f t="shared" si="2"/>
        <v>489</v>
      </c>
      <c r="E10" s="14"/>
      <c r="F10" s="7" t="s">
        <v>11</v>
      </c>
      <c r="G10" s="8">
        <f>46+7</f>
        <v>53</v>
      </c>
      <c r="H10" s="8"/>
      <c r="I10" s="8"/>
      <c r="J10" s="8">
        <f t="shared" si="0"/>
        <v>53</v>
      </c>
      <c r="L10" s="24" t="s">
        <v>11</v>
      </c>
      <c r="M10" s="25">
        <v>0</v>
      </c>
      <c r="N10" s="25">
        <f>17+1</f>
        <v>18</v>
      </c>
      <c r="O10" s="25">
        <f t="shared" si="1"/>
        <v>18</v>
      </c>
    </row>
    <row r="11" spans="1:15" ht="21.75" customHeight="1" x14ac:dyDescent="0.25">
      <c r="A11" s="19" t="s">
        <v>7</v>
      </c>
      <c r="B11" s="4">
        <f>17+1</f>
        <v>18</v>
      </c>
      <c r="C11" s="4">
        <f>162+21+5+32</f>
        <v>220</v>
      </c>
      <c r="D11" s="4">
        <f t="shared" si="2"/>
        <v>238</v>
      </c>
      <c r="E11" s="14"/>
      <c r="F11" s="7" t="s">
        <v>12</v>
      </c>
      <c r="G11" s="8">
        <v>33</v>
      </c>
      <c r="H11" s="8"/>
      <c r="I11" s="8"/>
      <c r="J11" s="8">
        <f t="shared" si="0"/>
        <v>33</v>
      </c>
      <c r="L11" s="24" t="s">
        <v>12</v>
      </c>
      <c r="M11" s="25">
        <v>0</v>
      </c>
      <c r="N11" s="25">
        <v>1</v>
      </c>
      <c r="O11" s="25">
        <f t="shared" si="1"/>
        <v>1</v>
      </c>
    </row>
    <row r="12" spans="1:15" ht="21.75" customHeight="1" x14ac:dyDescent="0.25">
      <c r="A12" s="19" t="s">
        <v>8</v>
      </c>
      <c r="B12" s="4">
        <f>1154+40</f>
        <v>1194</v>
      </c>
      <c r="C12" s="4">
        <f>9+136+10+16</f>
        <v>171</v>
      </c>
      <c r="D12" s="4">
        <f t="shared" si="2"/>
        <v>1365</v>
      </c>
      <c r="E12" s="14"/>
      <c r="F12" s="7" t="s">
        <v>13</v>
      </c>
      <c r="G12" s="8">
        <v>1</v>
      </c>
      <c r="H12" s="8"/>
      <c r="I12" s="8"/>
      <c r="J12" s="8">
        <f t="shared" si="0"/>
        <v>1</v>
      </c>
      <c r="L12" s="24" t="s">
        <v>13</v>
      </c>
      <c r="M12" s="25">
        <v>0</v>
      </c>
      <c r="N12" s="25">
        <v>0</v>
      </c>
      <c r="O12" s="25">
        <f t="shared" si="1"/>
        <v>0</v>
      </c>
    </row>
    <row r="13" spans="1:15" ht="21.75" customHeight="1" x14ac:dyDescent="0.25">
      <c r="A13" s="19" t="s">
        <v>9</v>
      </c>
      <c r="B13" s="4">
        <f>273+48+4+34</f>
        <v>359</v>
      </c>
      <c r="C13" s="4">
        <f>6+12+2+6</f>
        <v>26</v>
      </c>
      <c r="D13" s="4">
        <f t="shared" si="2"/>
        <v>385</v>
      </c>
      <c r="E13" s="14"/>
      <c r="F13" s="7"/>
      <c r="G13" s="8">
        <f>SUM(G4:G12)</f>
        <v>2575</v>
      </c>
      <c r="H13" s="8">
        <f>SUM(H4:H12)</f>
        <v>11</v>
      </c>
      <c r="I13" s="8">
        <f>SUM(I4:I12)</f>
        <v>24</v>
      </c>
      <c r="J13" s="8">
        <f t="shared" si="0"/>
        <v>2610</v>
      </c>
      <c r="L13" s="24"/>
      <c r="M13" s="25">
        <f>SUM(M4:M12)</f>
        <v>106</v>
      </c>
      <c r="N13" s="25">
        <f>SUM(N4:N12)</f>
        <v>105</v>
      </c>
      <c r="O13" s="25">
        <f t="shared" si="1"/>
        <v>211</v>
      </c>
    </row>
    <row r="14" spans="1:15" ht="21.75" customHeight="1" x14ac:dyDescent="0.25">
      <c r="A14" s="19" t="s">
        <v>10</v>
      </c>
      <c r="B14" s="4">
        <f>444+14+1</f>
        <v>459</v>
      </c>
      <c r="C14" s="4">
        <f>13+59+8+9</f>
        <v>89</v>
      </c>
      <c r="D14" s="4">
        <f t="shared" si="2"/>
        <v>548</v>
      </c>
      <c r="E14" s="14"/>
      <c r="L14" s="13"/>
      <c r="M14" s="14"/>
      <c r="N14" s="14"/>
      <c r="O14" s="14"/>
    </row>
    <row r="15" spans="1:15" ht="21.75" customHeight="1" x14ac:dyDescent="0.3">
      <c r="A15" s="19" t="s">
        <v>11</v>
      </c>
      <c r="B15" s="4">
        <f>247+51+5+22</f>
        <v>325</v>
      </c>
      <c r="C15" s="4">
        <f>15+8+2+15</f>
        <v>40</v>
      </c>
      <c r="D15" s="4">
        <f t="shared" si="2"/>
        <v>365</v>
      </c>
      <c r="E15" s="14"/>
      <c r="F15" s="69" t="s">
        <v>23</v>
      </c>
      <c r="G15" s="70"/>
      <c r="H15" s="70"/>
      <c r="I15" s="70"/>
      <c r="J15" s="71"/>
    </row>
    <row r="16" spans="1:15" ht="21.75" customHeight="1" x14ac:dyDescent="0.25">
      <c r="A16" s="19" t="s">
        <v>12</v>
      </c>
      <c r="B16" s="4">
        <f>681+11</f>
        <v>692</v>
      </c>
      <c r="C16" s="4">
        <f>10+83+14+27</f>
        <v>134</v>
      </c>
      <c r="D16" s="4">
        <f t="shared" si="2"/>
        <v>826</v>
      </c>
      <c r="E16" s="14"/>
      <c r="F16" s="9"/>
      <c r="G16" s="10" t="s">
        <v>16</v>
      </c>
      <c r="H16" s="10" t="s">
        <v>14</v>
      </c>
      <c r="I16" s="10" t="s">
        <v>15</v>
      </c>
      <c r="J16" s="10"/>
    </row>
    <row r="17" spans="1:10" ht="21.75" customHeight="1" x14ac:dyDescent="0.25">
      <c r="A17" s="19" t="s">
        <v>13</v>
      </c>
      <c r="B17" s="4">
        <f>30+1</f>
        <v>31</v>
      </c>
      <c r="C17" s="4">
        <f>0+4+2</f>
        <v>6</v>
      </c>
      <c r="D17" s="4">
        <f t="shared" si="2"/>
        <v>37</v>
      </c>
      <c r="E17" s="14"/>
      <c r="F17" s="9" t="s">
        <v>0</v>
      </c>
      <c r="G17" s="10">
        <f>241+399</f>
        <v>640</v>
      </c>
      <c r="H17" s="10">
        <v>6</v>
      </c>
      <c r="I17" s="10">
        <f>3+9</f>
        <v>12</v>
      </c>
      <c r="J17" s="10">
        <f>SUM(G17:I17)</f>
        <v>658</v>
      </c>
    </row>
    <row r="18" spans="1:10" ht="21.75" customHeight="1" x14ac:dyDescent="0.25">
      <c r="A18" s="20"/>
      <c r="B18" s="5">
        <f>SUM(B8:B17)</f>
        <v>7045</v>
      </c>
      <c r="C18" s="5">
        <f>SUM(C9:C17)</f>
        <v>812</v>
      </c>
      <c r="D18" s="4">
        <f t="shared" si="2"/>
        <v>7857</v>
      </c>
      <c r="E18" s="14"/>
      <c r="F18" s="9" t="s">
        <v>17</v>
      </c>
      <c r="G18" s="10">
        <f>1051+2019+977</f>
        <v>4047</v>
      </c>
      <c r="H18" s="10">
        <f>38+12</f>
        <v>50</v>
      </c>
      <c r="I18" s="10">
        <f>35+11</f>
        <v>46</v>
      </c>
      <c r="J18" s="10">
        <f>SUM(G18:I18)</f>
        <v>4143</v>
      </c>
    </row>
    <row r="19" spans="1:10" ht="21.75" customHeight="1" x14ac:dyDescent="0.25">
      <c r="B19" s="64"/>
      <c r="C19" s="64"/>
      <c r="D19" s="35"/>
      <c r="E19" s="35"/>
      <c r="F19" s="9"/>
      <c r="G19" s="10">
        <f>SUM(G17:G18)</f>
        <v>4687</v>
      </c>
      <c r="H19" s="10">
        <f t="shared" ref="H19:I19" si="3">SUM(H17:H18)</f>
        <v>56</v>
      </c>
      <c r="I19" s="10">
        <f t="shared" si="3"/>
        <v>58</v>
      </c>
      <c r="J19" s="10">
        <f>SUM(J17:J18)</f>
        <v>4801</v>
      </c>
    </row>
    <row r="20" spans="1:10" ht="21.75" customHeight="1" x14ac:dyDescent="0.25">
      <c r="A20" s="32" t="s">
        <v>19</v>
      </c>
      <c r="B20" s="56">
        <f>630+7+349</f>
        <v>986</v>
      </c>
      <c r="C20" s="56"/>
      <c r="D20" s="14"/>
      <c r="E20" s="14"/>
      <c r="F20" s="13"/>
      <c r="G20" s="14"/>
      <c r="H20" s="14"/>
      <c r="I20" s="14"/>
      <c r="J20" s="14"/>
    </row>
    <row r="21" spans="1:10" ht="21.75" customHeight="1" x14ac:dyDescent="0.3">
      <c r="A21" s="32" t="s">
        <v>2</v>
      </c>
      <c r="B21" s="56">
        <f>6+8+3</f>
        <v>17</v>
      </c>
      <c r="C21" s="56"/>
      <c r="D21" s="14"/>
      <c r="E21" s="14"/>
      <c r="F21" s="33" t="s">
        <v>20</v>
      </c>
      <c r="G21" s="33"/>
    </row>
    <row r="22" spans="1:10" ht="21.75" customHeight="1" x14ac:dyDescent="0.25">
      <c r="F22" s="11" t="s">
        <v>0</v>
      </c>
      <c r="G22" s="12">
        <f>15+6</f>
        <v>21</v>
      </c>
    </row>
    <row r="23" spans="1:10" ht="21.75" customHeight="1" x14ac:dyDescent="0.25">
      <c r="A23" s="3" t="s">
        <v>21</v>
      </c>
      <c r="B23" s="2">
        <f>SUM(B4+D18+B20+B21+J13+J19+G24+O13)</f>
        <v>18456</v>
      </c>
      <c r="F23" s="11" t="s">
        <v>17</v>
      </c>
      <c r="G23" s="12">
        <f>46+6</f>
        <v>52</v>
      </c>
    </row>
    <row r="24" spans="1:10" ht="21.75" customHeight="1" x14ac:dyDescent="0.25">
      <c r="F24" s="1"/>
      <c r="G24" s="12">
        <f>SUM(G22:G23)</f>
        <v>73</v>
      </c>
    </row>
    <row r="25" spans="1:10" ht="21.75" customHeight="1" x14ac:dyDescent="0.25"/>
  </sheetData>
  <mergeCells count="9">
    <mergeCell ref="B19:C19"/>
    <mergeCell ref="B20:C20"/>
    <mergeCell ref="B21:C21"/>
    <mergeCell ref="A1:O1"/>
    <mergeCell ref="A2:C2"/>
    <mergeCell ref="F2:J2"/>
    <mergeCell ref="L2:O2"/>
    <mergeCell ref="A6:D6"/>
    <mergeCell ref="F15:J15"/>
  </mergeCells>
  <pageMargins left="0.7" right="0.7" top="0.4" bottom="0.57999999999999996" header="0.3" footer="0.3"/>
  <pageSetup paperSize="9" orientation="landscape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25"/>
  <sheetViews>
    <sheetView workbookViewId="0">
      <selection activeCell="B8" sqref="B8"/>
    </sheetView>
  </sheetViews>
  <sheetFormatPr defaultRowHeight="15" x14ac:dyDescent="0.25"/>
  <cols>
    <col min="1" max="1" width="14.5703125" bestFit="1" customWidth="1"/>
    <col min="2" max="2" width="6.7109375" bestFit="1" customWidth="1"/>
    <col min="3" max="3" width="7.42578125" customWidth="1"/>
    <col min="4" max="4" width="7.140625" customWidth="1"/>
    <col min="5" max="5" width="3.42578125" customWidth="1"/>
    <col min="6" max="6" width="9.140625" customWidth="1"/>
    <col min="7" max="7" width="7.42578125" customWidth="1"/>
    <col min="8" max="8" width="6.85546875" customWidth="1"/>
    <col min="9" max="9" width="7.28515625" customWidth="1"/>
    <col min="10" max="10" width="6.85546875" customWidth="1"/>
    <col min="11" max="11" width="4.28515625" customWidth="1"/>
    <col min="13" max="13" width="7.7109375" customWidth="1"/>
    <col min="14" max="14" width="7.42578125" customWidth="1"/>
    <col min="15" max="15" width="5.85546875" customWidth="1"/>
  </cols>
  <sheetData>
    <row r="1" spans="1:15" ht="23.25" x14ac:dyDescent="0.35">
      <c r="A1" s="58" t="s">
        <v>27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</row>
    <row r="2" spans="1:15" ht="21.75" customHeight="1" x14ac:dyDescent="0.3">
      <c r="A2" s="60" t="s">
        <v>24</v>
      </c>
      <c r="B2" s="60"/>
      <c r="C2" s="60"/>
      <c r="D2" s="16"/>
      <c r="E2" s="16"/>
      <c r="F2" s="61" t="s">
        <v>22</v>
      </c>
      <c r="G2" s="61"/>
      <c r="H2" s="61"/>
      <c r="I2" s="61"/>
      <c r="J2" s="61"/>
      <c r="L2" s="65" t="s">
        <v>26</v>
      </c>
      <c r="M2" s="65"/>
      <c r="N2" s="65"/>
      <c r="O2" s="65"/>
    </row>
    <row r="3" spans="1:15" ht="21.75" customHeight="1" x14ac:dyDescent="0.25">
      <c r="A3" s="3"/>
      <c r="B3" s="2" t="s">
        <v>4</v>
      </c>
      <c r="C3" s="2" t="s">
        <v>5</v>
      </c>
      <c r="D3" s="14"/>
      <c r="E3" s="14"/>
      <c r="F3" s="7"/>
      <c r="G3" s="8" t="s">
        <v>16</v>
      </c>
      <c r="H3" s="8" t="s">
        <v>14</v>
      </c>
      <c r="I3" s="8" t="s">
        <v>15</v>
      </c>
      <c r="J3" s="8"/>
      <c r="L3" s="24"/>
      <c r="M3" s="25" t="s">
        <v>4</v>
      </c>
      <c r="N3" s="25" t="s">
        <v>5</v>
      </c>
      <c r="O3" s="25"/>
    </row>
    <row r="4" spans="1:15" ht="21.75" customHeight="1" x14ac:dyDescent="0.25">
      <c r="A4" s="3" t="s">
        <v>0</v>
      </c>
      <c r="B4" s="2">
        <f>1635+183+29+1+53+40</f>
        <v>1941</v>
      </c>
      <c r="C4" s="2"/>
      <c r="D4" s="14"/>
      <c r="E4" s="14"/>
      <c r="F4" s="7" t="s">
        <v>0</v>
      </c>
      <c r="G4" s="8">
        <f>302+68+1</f>
        <v>371</v>
      </c>
      <c r="H4" s="8">
        <f>1+1</f>
        <v>2</v>
      </c>
      <c r="I4" s="8">
        <f>4+1</f>
        <v>5</v>
      </c>
      <c r="J4" s="8">
        <f>SUM(G4:I4)</f>
        <v>378</v>
      </c>
      <c r="L4" s="24" t="s">
        <v>0</v>
      </c>
      <c r="M4" s="25">
        <f>55+7+17</f>
        <v>79</v>
      </c>
      <c r="N4" s="25">
        <v>0</v>
      </c>
      <c r="O4" s="25">
        <f>SUM(M4:N4)</f>
        <v>79</v>
      </c>
    </row>
    <row r="5" spans="1:15" ht="21.75" customHeight="1" x14ac:dyDescent="0.25">
      <c r="A5" s="13"/>
      <c r="B5" s="14"/>
      <c r="C5" s="14"/>
      <c r="D5" s="14"/>
      <c r="E5" s="14"/>
      <c r="F5" s="7" t="s">
        <v>17</v>
      </c>
      <c r="G5" s="8">
        <f>1687+270+6+10</f>
        <v>1973</v>
      </c>
      <c r="H5" s="8">
        <f>6+2</f>
        <v>8</v>
      </c>
      <c r="I5" s="8">
        <f>16+3</f>
        <v>19</v>
      </c>
      <c r="J5" s="8">
        <f t="shared" ref="J5:J13" si="0">SUM(G5:I5)</f>
        <v>2000</v>
      </c>
      <c r="L5" s="24" t="s">
        <v>17</v>
      </c>
      <c r="M5" s="25">
        <f>41+3+13</f>
        <v>57</v>
      </c>
      <c r="N5" s="25">
        <f>21+18</f>
        <v>39</v>
      </c>
      <c r="O5" s="25">
        <f t="shared" ref="O5:O13" si="1">SUM(M5:N5)</f>
        <v>96</v>
      </c>
    </row>
    <row r="6" spans="1:15" ht="21.75" customHeight="1" x14ac:dyDescent="0.3">
      <c r="A6" s="66" t="s">
        <v>25</v>
      </c>
      <c r="B6" s="67"/>
      <c r="C6" s="67"/>
      <c r="D6" s="68"/>
      <c r="E6" s="17"/>
      <c r="F6" s="7" t="s">
        <v>6</v>
      </c>
      <c r="G6" s="8">
        <f>4+1</f>
        <v>5</v>
      </c>
      <c r="H6" s="8">
        <v>1</v>
      </c>
      <c r="I6" s="8"/>
      <c r="J6" s="8">
        <f t="shared" si="0"/>
        <v>6</v>
      </c>
      <c r="L6" s="24" t="s">
        <v>6</v>
      </c>
      <c r="M6" s="25">
        <v>0</v>
      </c>
      <c r="N6" s="25">
        <f>28+2+13</f>
        <v>43</v>
      </c>
      <c r="O6" s="25">
        <f t="shared" si="1"/>
        <v>43</v>
      </c>
    </row>
    <row r="7" spans="1:15" ht="21.75" customHeight="1" x14ac:dyDescent="0.3">
      <c r="A7" s="38"/>
      <c r="B7" s="38" t="s">
        <v>4</v>
      </c>
      <c r="C7" s="38" t="s">
        <v>5</v>
      </c>
      <c r="D7" s="38"/>
      <c r="E7" s="17"/>
      <c r="F7" s="7" t="s">
        <v>8</v>
      </c>
      <c r="G7" s="8">
        <f>37+1</f>
        <v>38</v>
      </c>
      <c r="H7" s="8"/>
      <c r="I7" s="8"/>
      <c r="J7" s="8">
        <f t="shared" si="0"/>
        <v>38</v>
      </c>
      <c r="L7" s="24" t="s">
        <v>8</v>
      </c>
      <c r="M7" s="25">
        <v>0</v>
      </c>
      <c r="N7" s="25">
        <v>2</v>
      </c>
      <c r="O7" s="25">
        <f t="shared" si="1"/>
        <v>2</v>
      </c>
    </row>
    <row r="8" spans="1:15" ht="21.75" customHeight="1" x14ac:dyDescent="0.25">
      <c r="A8" s="19" t="s">
        <v>1</v>
      </c>
      <c r="B8" s="4">
        <f>2999+356+19+137+1+1+77+1</f>
        <v>3591</v>
      </c>
      <c r="C8" s="4"/>
      <c r="D8" s="4">
        <f>SUM(B8:C8)</f>
        <v>3591</v>
      </c>
      <c r="E8" s="14"/>
      <c r="F8" s="7" t="s">
        <v>9</v>
      </c>
      <c r="G8" s="8">
        <f>35+8</f>
        <v>43</v>
      </c>
      <c r="H8" s="8"/>
      <c r="I8" s="8"/>
      <c r="J8" s="8">
        <f t="shared" si="0"/>
        <v>43</v>
      </c>
      <c r="L8" s="24" t="s">
        <v>9</v>
      </c>
      <c r="M8" s="25">
        <v>0</v>
      </c>
      <c r="N8" s="25">
        <f>22+3+7</f>
        <v>32</v>
      </c>
      <c r="O8" s="25">
        <f t="shared" si="1"/>
        <v>32</v>
      </c>
    </row>
    <row r="9" spans="1:15" ht="21.75" customHeight="1" x14ac:dyDescent="0.25">
      <c r="A9" s="19" t="s">
        <v>3</v>
      </c>
      <c r="B9" s="4">
        <f>7+4</f>
        <v>11</v>
      </c>
      <c r="C9" s="4">
        <f>48+14+3+16+11</f>
        <v>92</v>
      </c>
      <c r="D9" s="4">
        <f t="shared" ref="D9:D18" si="2">SUM(B9:C9)</f>
        <v>103</v>
      </c>
      <c r="E9" s="14"/>
      <c r="F9" s="7" t="s">
        <v>18</v>
      </c>
      <c r="G9" s="8">
        <f>61+8</f>
        <v>69</v>
      </c>
      <c r="H9" s="8"/>
      <c r="I9" s="8"/>
      <c r="J9" s="8">
        <f t="shared" si="0"/>
        <v>69</v>
      </c>
      <c r="L9" s="24" t="s">
        <v>18</v>
      </c>
      <c r="M9" s="25">
        <v>0</v>
      </c>
      <c r="N9" s="25">
        <f>7+1+2</f>
        <v>10</v>
      </c>
      <c r="O9" s="25">
        <f t="shared" si="1"/>
        <v>10</v>
      </c>
    </row>
    <row r="10" spans="1:15" ht="21.75" customHeight="1" x14ac:dyDescent="0.25">
      <c r="A10" s="19" t="s">
        <v>6</v>
      </c>
      <c r="B10" s="4">
        <f>367+37+3+37+6</f>
        <v>450</v>
      </c>
      <c r="C10" s="4">
        <f>13+13+2+17+1</f>
        <v>46</v>
      </c>
      <c r="D10" s="4">
        <f t="shared" si="2"/>
        <v>496</v>
      </c>
      <c r="E10" s="14"/>
      <c r="F10" s="7" t="s">
        <v>11</v>
      </c>
      <c r="G10" s="8">
        <f>46+7+1</f>
        <v>54</v>
      </c>
      <c r="H10" s="8"/>
      <c r="I10" s="8"/>
      <c r="J10" s="8">
        <f t="shared" si="0"/>
        <v>54</v>
      </c>
      <c r="L10" s="24" t="s">
        <v>11</v>
      </c>
      <c r="M10" s="25">
        <v>0</v>
      </c>
      <c r="N10" s="25">
        <f>17+1+6</f>
        <v>24</v>
      </c>
      <c r="O10" s="25">
        <f t="shared" si="1"/>
        <v>24</v>
      </c>
    </row>
    <row r="11" spans="1:15" ht="21.75" customHeight="1" x14ac:dyDescent="0.25">
      <c r="A11" s="19" t="s">
        <v>7</v>
      </c>
      <c r="B11" s="4">
        <f>17+1</f>
        <v>18</v>
      </c>
      <c r="C11" s="4">
        <f>162+21+5+32+8</f>
        <v>228</v>
      </c>
      <c r="D11" s="4">
        <f t="shared" si="2"/>
        <v>246</v>
      </c>
      <c r="E11" s="14"/>
      <c r="F11" s="7" t="s">
        <v>12</v>
      </c>
      <c r="G11" s="8">
        <v>33</v>
      </c>
      <c r="H11" s="8"/>
      <c r="I11" s="8"/>
      <c r="J11" s="8">
        <f t="shared" si="0"/>
        <v>33</v>
      </c>
      <c r="L11" s="24" t="s">
        <v>12</v>
      </c>
      <c r="M11" s="25">
        <v>0</v>
      </c>
      <c r="N11" s="25">
        <f>1+2</f>
        <v>3</v>
      </c>
      <c r="O11" s="25">
        <f t="shared" si="1"/>
        <v>3</v>
      </c>
    </row>
    <row r="12" spans="1:15" ht="21.75" customHeight="1" x14ac:dyDescent="0.25">
      <c r="A12" s="19" t="s">
        <v>8</v>
      </c>
      <c r="B12" s="4">
        <f>1154+40+14</f>
        <v>1208</v>
      </c>
      <c r="C12" s="4">
        <f>9+136+10+16+4</f>
        <v>175</v>
      </c>
      <c r="D12" s="4">
        <f t="shared" si="2"/>
        <v>1383</v>
      </c>
      <c r="E12" s="14"/>
      <c r="F12" s="7" t="s">
        <v>13</v>
      </c>
      <c r="G12" s="8">
        <v>1</v>
      </c>
      <c r="H12" s="8"/>
      <c r="I12" s="8"/>
      <c r="J12" s="8">
        <f t="shared" si="0"/>
        <v>1</v>
      </c>
      <c r="L12" s="24" t="s">
        <v>13</v>
      </c>
      <c r="M12" s="25">
        <v>0</v>
      </c>
      <c r="N12" s="25">
        <v>0</v>
      </c>
      <c r="O12" s="25">
        <f t="shared" si="1"/>
        <v>0</v>
      </c>
    </row>
    <row r="13" spans="1:15" ht="21.75" customHeight="1" x14ac:dyDescent="0.25">
      <c r="A13" s="19" t="s">
        <v>9</v>
      </c>
      <c r="B13" s="4">
        <f>273+48+4+34+10</f>
        <v>369</v>
      </c>
      <c r="C13" s="4">
        <f>6+12+2+6+2</f>
        <v>28</v>
      </c>
      <c r="D13" s="4">
        <f t="shared" si="2"/>
        <v>397</v>
      </c>
      <c r="E13" s="14"/>
      <c r="F13" s="7"/>
      <c r="G13" s="8">
        <f>SUM(G4:G12)</f>
        <v>2587</v>
      </c>
      <c r="H13" s="8">
        <f>SUM(H4:H12)</f>
        <v>11</v>
      </c>
      <c r="I13" s="8">
        <f>SUM(I4:I12)</f>
        <v>24</v>
      </c>
      <c r="J13" s="8">
        <f t="shared" si="0"/>
        <v>2622</v>
      </c>
      <c r="L13" s="24"/>
      <c r="M13" s="25">
        <f>SUM(M4:M12)</f>
        <v>136</v>
      </c>
      <c r="N13" s="25">
        <f>SUM(N4:N12)</f>
        <v>153</v>
      </c>
      <c r="O13" s="25">
        <f t="shared" si="1"/>
        <v>289</v>
      </c>
    </row>
    <row r="14" spans="1:15" ht="21.75" customHeight="1" x14ac:dyDescent="0.25">
      <c r="A14" s="19" t="s">
        <v>10</v>
      </c>
      <c r="B14" s="4">
        <f>444+14+1+1+5</f>
        <v>465</v>
      </c>
      <c r="C14" s="4">
        <f>13+59+8+9+2</f>
        <v>91</v>
      </c>
      <c r="D14" s="4">
        <f t="shared" si="2"/>
        <v>556</v>
      </c>
      <c r="E14" s="14"/>
      <c r="L14" s="13"/>
      <c r="M14" s="14"/>
      <c r="N14" s="14"/>
      <c r="O14" s="14"/>
    </row>
    <row r="15" spans="1:15" ht="21.75" customHeight="1" x14ac:dyDescent="0.3">
      <c r="A15" s="19" t="s">
        <v>11</v>
      </c>
      <c r="B15" s="4">
        <f>247+51+5+22+3</f>
        <v>328</v>
      </c>
      <c r="C15" s="4">
        <f>15+8+2+15+9</f>
        <v>49</v>
      </c>
      <c r="D15" s="4">
        <f t="shared" si="2"/>
        <v>377</v>
      </c>
      <c r="E15" s="14"/>
      <c r="F15" s="69" t="s">
        <v>23</v>
      </c>
      <c r="G15" s="70"/>
      <c r="H15" s="70"/>
      <c r="I15" s="70"/>
      <c r="J15" s="71"/>
    </row>
    <row r="16" spans="1:15" ht="21.75" customHeight="1" x14ac:dyDescent="0.25">
      <c r="A16" s="19" t="s">
        <v>12</v>
      </c>
      <c r="B16" s="4">
        <f>681+11+4</f>
        <v>696</v>
      </c>
      <c r="C16" s="4">
        <f>10+83+14+27+3</f>
        <v>137</v>
      </c>
      <c r="D16" s="4">
        <f t="shared" si="2"/>
        <v>833</v>
      </c>
      <c r="E16" s="14"/>
      <c r="F16" s="9"/>
      <c r="G16" s="10" t="s">
        <v>16</v>
      </c>
      <c r="H16" s="10" t="s">
        <v>14</v>
      </c>
      <c r="I16" s="10" t="s">
        <v>15</v>
      </c>
      <c r="J16" s="10"/>
    </row>
    <row r="17" spans="1:10" ht="21.75" customHeight="1" x14ac:dyDescent="0.25">
      <c r="A17" s="19" t="s">
        <v>13</v>
      </c>
      <c r="B17" s="4">
        <f>30+1</f>
        <v>31</v>
      </c>
      <c r="C17" s="4">
        <f>0+4+2+1</f>
        <v>7</v>
      </c>
      <c r="D17" s="4">
        <f t="shared" si="2"/>
        <v>38</v>
      </c>
      <c r="E17" s="14"/>
      <c r="F17" s="9" t="s">
        <v>0</v>
      </c>
      <c r="G17" s="10">
        <f>241+399+75</f>
        <v>715</v>
      </c>
      <c r="H17" s="10">
        <v>6</v>
      </c>
      <c r="I17" s="10">
        <f>3+9+1</f>
        <v>13</v>
      </c>
      <c r="J17" s="10">
        <f>SUM(G17:I17)</f>
        <v>734</v>
      </c>
    </row>
    <row r="18" spans="1:10" ht="21.75" customHeight="1" x14ac:dyDescent="0.25">
      <c r="A18" s="20"/>
      <c r="B18" s="5">
        <f>SUM(B8:B17)</f>
        <v>7167</v>
      </c>
      <c r="C18" s="5">
        <f>SUM(C9:C17)</f>
        <v>853</v>
      </c>
      <c r="D18" s="4">
        <f t="shared" si="2"/>
        <v>8020</v>
      </c>
      <c r="E18" s="14"/>
      <c r="F18" s="9" t="s">
        <v>17</v>
      </c>
      <c r="G18" s="10">
        <f>1051+2019+977+826</f>
        <v>4873</v>
      </c>
      <c r="H18" s="10">
        <f>38+12</f>
        <v>50</v>
      </c>
      <c r="I18" s="10">
        <f>35+11</f>
        <v>46</v>
      </c>
      <c r="J18" s="10">
        <f>SUM(G18:I18)</f>
        <v>4969</v>
      </c>
    </row>
    <row r="19" spans="1:10" ht="21.75" customHeight="1" x14ac:dyDescent="0.25">
      <c r="B19" s="64"/>
      <c r="C19" s="64"/>
      <c r="D19" s="39"/>
      <c r="E19" s="39"/>
      <c r="F19" s="9"/>
      <c r="G19" s="10">
        <f>SUM(G17:G18)</f>
        <v>5588</v>
      </c>
      <c r="H19" s="10">
        <f t="shared" ref="H19:I19" si="3">SUM(H17:H18)</f>
        <v>56</v>
      </c>
      <c r="I19" s="10">
        <f t="shared" si="3"/>
        <v>59</v>
      </c>
      <c r="J19" s="10">
        <f>SUM(J17:J18)</f>
        <v>5703</v>
      </c>
    </row>
    <row r="20" spans="1:10" ht="21.75" customHeight="1" x14ac:dyDescent="0.25">
      <c r="A20" s="36" t="s">
        <v>19</v>
      </c>
      <c r="B20" s="56">
        <f>630+7+349+122</f>
        <v>1108</v>
      </c>
      <c r="C20" s="56"/>
      <c r="D20" s="14"/>
      <c r="E20" s="14"/>
      <c r="F20" s="13"/>
      <c r="G20" s="14"/>
      <c r="H20" s="14"/>
      <c r="I20" s="14"/>
      <c r="J20" s="14"/>
    </row>
    <row r="21" spans="1:10" ht="21.75" customHeight="1" x14ac:dyDescent="0.3">
      <c r="A21" s="36" t="s">
        <v>2</v>
      </c>
      <c r="B21" s="56">
        <f>6+8+3+1</f>
        <v>18</v>
      </c>
      <c r="C21" s="56"/>
      <c r="D21" s="14"/>
      <c r="E21" s="14"/>
      <c r="F21" s="37" t="s">
        <v>20</v>
      </c>
      <c r="G21" s="37"/>
    </row>
    <row r="22" spans="1:10" ht="21.75" customHeight="1" x14ac:dyDescent="0.25">
      <c r="F22" s="11" t="s">
        <v>0</v>
      </c>
      <c r="G22" s="12">
        <f>15+6</f>
        <v>21</v>
      </c>
    </row>
    <row r="23" spans="1:10" ht="21.75" customHeight="1" x14ac:dyDescent="0.25">
      <c r="A23" s="3" t="s">
        <v>21</v>
      </c>
      <c r="B23" s="2">
        <f>SUM(B4+D18+B20+B21+J13+J19+G24+O13)</f>
        <v>19774</v>
      </c>
      <c r="F23" s="11" t="s">
        <v>17</v>
      </c>
      <c r="G23" s="12">
        <f>46+6</f>
        <v>52</v>
      </c>
    </row>
    <row r="24" spans="1:10" ht="21.75" customHeight="1" x14ac:dyDescent="0.25">
      <c r="F24" s="11"/>
      <c r="G24" s="12">
        <f>SUM(G22:G23)</f>
        <v>73</v>
      </c>
    </row>
    <row r="25" spans="1:10" ht="21.75" customHeight="1" x14ac:dyDescent="0.25"/>
  </sheetData>
  <mergeCells count="9">
    <mergeCell ref="B19:C19"/>
    <mergeCell ref="B20:C20"/>
    <mergeCell ref="B21:C21"/>
    <mergeCell ref="A1:O1"/>
    <mergeCell ref="A2:C2"/>
    <mergeCell ref="F2:J2"/>
    <mergeCell ref="L2:O2"/>
    <mergeCell ref="A6:D6"/>
    <mergeCell ref="F15:J15"/>
  </mergeCells>
  <pageMargins left="0.7" right="0.7" top="0.4" bottom="0.57999999999999996" header="0.3" footer="0.3"/>
  <pageSetup paperSize="9" orientation="landscape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25"/>
  <sheetViews>
    <sheetView topLeftCell="A4" workbookViewId="0">
      <selection activeCell="R8" sqref="R8"/>
    </sheetView>
  </sheetViews>
  <sheetFormatPr defaultRowHeight="15" x14ac:dyDescent="0.25"/>
  <cols>
    <col min="1" max="1" width="14.5703125" bestFit="1" customWidth="1"/>
    <col min="2" max="2" width="6.7109375" bestFit="1" customWidth="1"/>
    <col min="3" max="3" width="7.42578125" customWidth="1"/>
    <col min="4" max="4" width="7.140625" customWidth="1"/>
    <col min="5" max="5" width="3.42578125" customWidth="1"/>
    <col min="6" max="6" width="9.140625" customWidth="1"/>
    <col min="7" max="7" width="7.42578125" customWidth="1"/>
    <col min="8" max="8" width="6.85546875" customWidth="1"/>
    <col min="9" max="9" width="7.28515625" customWidth="1"/>
    <col min="10" max="10" width="6.85546875" customWidth="1"/>
    <col min="11" max="11" width="4.28515625" customWidth="1"/>
    <col min="13" max="13" width="7.7109375" customWidth="1"/>
    <col min="14" max="14" width="7.42578125" customWidth="1"/>
    <col min="15" max="15" width="5.85546875" customWidth="1"/>
  </cols>
  <sheetData>
    <row r="1" spans="1:15" ht="23.25" x14ac:dyDescent="0.35">
      <c r="A1" s="58">
        <v>43482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</row>
    <row r="2" spans="1:15" ht="21.75" customHeight="1" x14ac:dyDescent="0.3">
      <c r="A2" s="60" t="s">
        <v>24</v>
      </c>
      <c r="B2" s="60"/>
      <c r="C2" s="60"/>
      <c r="D2" s="16"/>
      <c r="E2" s="16"/>
      <c r="F2" s="61" t="s">
        <v>22</v>
      </c>
      <c r="G2" s="61"/>
      <c r="H2" s="61"/>
      <c r="I2" s="61"/>
      <c r="J2" s="61"/>
      <c r="L2" s="65" t="s">
        <v>26</v>
      </c>
      <c r="M2" s="65"/>
      <c r="N2" s="65"/>
      <c r="O2" s="65"/>
    </row>
    <row r="3" spans="1:15" ht="21.75" customHeight="1" x14ac:dyDescent="0.25">
      <c r="A3" s="3"/>
      <c r="B3" s="2" t="s">
        <v>4</v>
      </c>
      <c r="C3" s="2" t="s">
        <v>5</v>
      </c>
      <c r="D3" s="14"/>
      <c r="E3" s="14"/>
      <c r="F3" s="7"/>
      <c r="G3" s="8" t="s">
        <v>16</v>
      </c>
      <c r="H3" s="8" t="s">
        <v>14</v>
      </c>
      <c r="I3" s="8" t="s">
        <v>15</v>
      </c>
      <c r="J3" s="8"/>
      <c r="L3" s="24"/>
      <c r="M3" s="25" t="s">
        <v>4</v>
      </c>
      <c r="N3" s="25" t="s">
        <v>5</v>
      </c>
      <c r="O3" s="25"/>
    </row>
    <row r="4" spans="1:15" ht="21.75" customHeight="1" x14ac:dyDescent="0.25">
      <c r="A4" s="3" t="s">
        <v>0</v>
      </c>
      <c r="B4" s="2">
        <f>1635+183+29+1+53+40+71</f>
        <v>2012</v>
      </c>
      <c r="C4" s="2"/>
      <c r="D4" s="14"/>
      <c r="E4" s="14"/>
      <c r="F4" s="7" t="s">
        <v>0</v>
      </c>
      <c r="G4" s="8">
        <f>302+68+1+12</f>
        <v>383</v>
      </c>
      <c r="H4" s="8">
        <f>1+1</f>
        <v>2</v>
      </c>
      <c r="I4" s="8">
        <f>4+1</f>
        <v>5</v>
      </c>
      <c r="J4" s="8">
        <f>SUM(G4:I4)</f>
        <v>390</v>
      </c>
      <c r="L4" s="24" t="s">
        <v>0</v>
      </c>
      <c r="M4" s="25">
        <f>55+7+17+11</f>
        <v>90</v>
      </c>
      <c r="N4" s="25">
        <v>2</v>
      </c>
      <c r="O4" s="25">
        <f>SUM(M4:N4)</f>
        <v>92</v>
      </c>
    </row>
    <row r="5" spans="1:15" ht="21.75" customHeight="1" x14ac:dyDescent="0.25">
      <c r="A5" s="13"/>
      <c r="B5" s="14"/>
      <c r="C5" s="14"/>
      <c r="D5" s="14"/>
      <c r="E5" s="14"/>
      <c r="F5" s="7" t="s">
        <v>17</v>
      </c>
      <c r="G5" s="8">
        <f>1687+270+6+10+38</f>
        <v>2011</v>
      </c>
      <c r="H5" s="8">
        <f>6+2</f>
        <v>8</v>
      </c>
      <c r="I5" s="8">
        <f>16+3</f>
        <v>19</v>
      </c>
      <c r="J5" s="8">
        <f t="shared" ref="J5:J13" si="0">SUM(G5:I5)</f>
        <v>2038</v>
      </c>
      <c r="L5" s="24" t="s">
        <v>17</v>
      </c>
      <c r="M5" s="25">
        <f>41+3+13+5</f>
        <v>62</v>
      </c>
      <c r="N5" s="25">
        <f>21+18+8</f>
        <v>47</v>
      </c>
      <c r="O5" s="25">
        <f t="shared" ref="O5:O13" si="1">SUM(M5:N5)</f>
        <v>109</v>
      </c>
    </row>
    <row r="6" spans="1:15" ht="21.75" customHeight="1" x14ac:dyDescent="0.3">
      <c r="A6" s="66" t="s">
        <v>25</v>
      </c>
      <c r="B6" s="67"/>
      <c r="C6" s="67"/>
      <c r="D6" s="68"/>
      <c r="E6" s="17"/>
      <c r="F6" s="7" t="s">
        <v>6</v>
      </c>
      <c r="G6" s="8">
        <f>4+1+2</f>
        <v>7</v>
      </c>
      <c r="H6" s="8">
        <v>1</v>
      </c>
      <c r="I6" s="8"/>
      <c r="J6" s="8">
        <f t="shared" si="0"/>
        <v>8</v>
      </c>
      <c r="L6" s="24" t="s">
        <v>6</v>
      </c>
      <c r="M6" s="25">
        <v>0</v>
      </c>
      <c r="N6" s="25">
        <f>28+2+13+6</f>
        <v>49</v>
      </c>
      <c r="O6" s="25">
        <f t="shared" si="1"/>
        <v>49</v>
      </c>
    </row>
    <row r="7" spans="1:15" ht="21.75" customHeight="1" x14ac:dyDescent="0.3">
      <c r="A7" s="42"/>
      <c r="B7" s="42" t="s">
        <v>4</v>
      </c>
      <c r="C7" s="42" t="s">
        <v>5</v>
      </c>
      <c r="D7" s="42"/>
      <c r="E7" s="17"/>
      <c r="F7" s="7" t="s">
        <v>8</v>
      </c>
      <c r="G7" s="8">
        <f>37+1+4</f>
        <v>42</v>
      </c>
      <c r="H7" s="8"/>
      <c r="I7" s="8"/>
      <c r="J7" s="8">
        <f t="shared" si="0"/>
        <v>42</v>
      </c>
      <c r="L7" s="24" t="s">
        <v>8</v>
      </c>
      <c r="M7" s="25">
        <v>0</v>
      </c>
      <c r="N7" s="25">
        <f>2+1</f>
        <v>3</v>
      </c>
      <c r="O7" s="25">
        <f t="shared" si="1"/>
        <v>3</v>
      </c>
    </row>
    <row r="8" spans="1:15" ht="21.75" customHeight="1" x14ac:dyDescent="0.25">
      <c r="A8" s="19" t="s">
        <v>1</v>
      </c>
      <c r="B8" s="4">
        <f>2999+356+19+137+1+1+77+1+134</f>
        <v>3725</v>
      </c>
      <c r="C8" s="4"/>
      <c r="D8" s="4">
        <f>SUM(B8:C8)</f>
        <v>3725</v>
      </c>
      <c r="E8" s="14"/>
      <c r="F8" s="7" t="s">
        <v>9</v>
      </c>
      <c r="G8" s="8">
        <f>35+8+11</f>
        <v>54</v>
      </c>
      <c r="H8" s="8"/>
      <c r="I8" s="8"/>
      <c r="J8" s="8">
        <f t="shared" si="0"/>
        <v>54</v>
      </c>
      <c r="L8" s="24" t="s">
        <v>9</v>
      </c>
      <c r="M8" s="25">
        <v>0</v>
      </c>
      <c r="N8" s="25">
        <f>22+3+7+3</f>
        <v>35</v>
      </c>
      <c r="O8" s="25">
        <f t="shared" si="1"/>
        <v>35</v>
      </c>
    </row>
    <row r="9" spans="1:15" ht="21.75" customHeight="1" x14ac:dyDescent="0.25">
      <c r="A9" s="19" t="s">
        <v>3</v>
      </c>
      <c r="B9" s="4">
        <f>7+4</f>
        <v>11</v>
      </c>
      <c r="C9" s="4">
        <f>48+14+3+16+11+11</f>
        <v>103</v>
      </c>
      <c r="D9" s="4">
        <f t="shared" ref="D9:D18" si="2">SUM(B9:C9)</f>
        <v>114</v>
      </c>
      <c r="E9" s="14"/>
      <c r="F9" s="7" t="s">
        <v>18</v>
      </c>
      <c r="G9" s="8">
        <f>61+8+10</f>
        <v>79</v>
      </c>
      <c r="H9" s="8"/>
      <c r="I9" s="8"/>
      <c r="J9" s="8">
        <f t="shared" si="0"/>
        <v>79</v>
      </c>
      <c r="L9" s="24" t="s">
        <v>18</v>
      </c>
      <c r="M9" s="25">
        <v>0</v>
      </c>
      <c r="N9" s="25">
        <f>7+1+2+1</f>
        <v>11</v>
      </c>
      <c r="O9" s="25">
        <f t="shared" si="1"/>
        <v>11</v>
      </c>
    </row>
    <row r="10" spans="1:15" ht="21.75" customHeight="1" x14ac:dyDescent="0.25">
      <c r="A10" s="19" t="s">
        <v>6</v>
      </c>
      <c r="B10" s="4">
        <f>367+37+3+37+6+23</f>
        <v>473</v>
      </c>
      <c r="C10" s="4">
        <f>13+13+2+17+1+1</f>
        <v>47</v>
      </c>
      <c r="D10" s="4">
        <f t="shared" si="2"/>
        <v>520</v>
      </c>
      <c r="E10" s="14"/>
      <c r="F10" s="7" t="s">
        <v>11</v>
      </c>
      <c r="G10" s="8">
        <f>46+7+1+6</f>
        <v>60</v>
      </c>
      <c r="H10" s="8"/>
      <c r="I10" s="8"/>
      <c r="J10" s="8">
        <f t="shared" si="0"/>
        <v>60</v>
      </c>
      <c r="L10" s="24" t="s">
        <v>11</v>
      </c>
      <c r="M10" s="25">
        <v>0</v>
      </c>
      <c r="N10" s="25">
        <f>17+1+6+2</f>
        <v>26</v>
      </c>
      <c r="O10" s="25">
        <f t="shared" si="1"/>
        <v>26</v>
      </c>
    </row>
    <row r="11" spans="1:15" ht="21.75" customHeight="1" x14ac:dyDescent="0.25">
      <c r="A11" s="19" t="s">
        <v>7</v>
      </c>
      <c r="B11" s="4">
        <f>17+1</f>
        <v>18</v>
      </c>
      <c r="C11" s="4">
        <f>162+21+5+32+8+13</f>
        <v>241</v>
      </c>
      <c r="D11" s="4">
        <f t="shared" si="2"/>
        <v>259</v>
      </c>
      <c r="E11" s="14"/>
      <c r="F11" s="7" t="s">
        <v>12</v>
      </c>
      <c r="G11" s="8">
        <f>33+5</f>
        <v>38</v>
      </c>
      <c r="H11" s="8"/>
      <c r="I11" s="8"/>
      <c r="J11" s="8">
        <f t="shared" si="0"/>
        <v>38</v>
      </c>
      <c r="L11" s="24" t="s">
        <v>12</v>
      </c>
      <c r="M11" s="25">
        <v>0</v>
      </c>
      <c r="N11" s="25">
        <f>1+2+1</f>
        <v>4</v>
      </c>
      <c r="O11" s="25">
        <f t="shared" si="1"/>
        <v>4</v>
      </c>
    </row>
    <row r="12" spans="1:15" ht="21.75" customHeight="1" x14ac:dyDescent="0.25">
      <c r="A12" s="19" t="s">
        <v>8</v>
      </c>
      <c r="B12" s="4">
        <f>1154+40+14+11</f>
        <v>1219</v>
      </c>
      <c r="C12" s="4">
        <f>9+136+10+16+4+2</f>
        <v>177</v>
      </c>
      <c r="D12" s="4">
        <f t="shared" si="2"/>
        <v>1396</v>
      </c>
      <c r="E12" s="14"/>
      <c r="F12" s="7" t="s">
        <v>13</v>
      </c>
      <c r="G12" s="8">
        <v>1</v>
      </c>
      <c r="H12" s="8"/>
      <c r="I12" s="8"/>
      <c r="J12" s="8">
        <f t="shared" si="0"/>
        <v>1</v>
      </c>
      <c r="L12" s="24" t="s">
        <v>13</v>
      </c>
      <c r="M12" s="25">
        <v>0</v>
      </c>
      <c r="N12" s="25">
        <v>0</v>
      </c>
      <c r="O12" s="25">
        <f t="shared" si="1"/>
        <v>0</v>
      </c>
    </row>
    <row r="13" spans="1:15" ht="21.75" customHeight="1" x14ac:dyDescent="0.25">
      <c r="A13" s="19" t="s">
        <v>9</v>
      </c>
      <c r="B13" s="4">
        <f>273+48+4+34+10+14</f>
        <v>383</v>
      </c>
      <c r="C13" s="4">
        <f>6+12+2+6+2+1</f>
        <v>29</v>
      </c>
      <c r="D13" s="4">
        <f t="shared" si="2"/>
        <v>412</v>
      </c>
      <c r="E13" s="14"/>
      <c r="F13" s="7"/>
      <c r="G13" s="8">
        <f>SUM(G4:G12)</f>
        <v>2675</v>
      </c>
      <c r="H13" s="8">
        <f>SUM(H4:H12)</f>
        <v>11</v>
      </c>
      <c r="I13" s="8">
        <f>SUM(I4:I12)</f>
        <v>24</v>
      </c>
      <c r="J13" s="8">
        <f t="shared" si="0"/>
        <v>2710</v>
      </c>
      <c r="L13" s="24"/>
      <c r="M13" s="25">
        <f>SUM(M4:M12)</f>
        <v>152</v>
      </c>
      <c r="N13" s="25">
        <f>SUM(N4:N12)</f>
        <v>177</v>
      </c>
      <c r="O13" s="25">
        <f t="shared" si="1"/>
        <v>329</v>
      </c>
    </row>
    <row r="14" spans="1:15" ht="21.75" customHeight="1" x14ac:dyDescent="0.25">
      <c r="A14" s="19" t="s">
        <v>10</v>
      </c>
      <c r="B14" s="4">
        <f>444+14+1+1+5+14</f>
        <v>479</v>
      </c>
      <c r="C14" s="4">
        <f>13+59+8+9+2+5</f>
        <v>96</v>
      </c>
      <c r="D14" s="4">
        <f t="shared" si="2"/>
        <v>575</v>
      </c>
      <c r="E14" s="14"/>
      <c r="L14" s="13"/>
      <c r="M14" s="14"/>
      <c r="N14" s="14"/>
      <c r="O14" s="14"/>
    </row>
    <row r="15" spans="1:15" ht="21.75" customHeight="1" x14ac:dyDescent="0.3">
      <c r="A15" s="19" t="s">
        <v>11</v>
      </c>
      <c r="B15" s="4">
        <f>247+51+5+22+3+11</f>
        <v>339</v>
      </c>
      <c r="C15" s="4">
        <f>15+8+2+15+9+7</f>
        <v>56</v>
      </c>
      <c r="D15" s="4">
        <f t="shared" si="2"/>
        <v>395</v>
      </c>
      <c r="E15" s="14"/>
      <c r="F15" s="69" t="s">
        <v>23</v>
      </c>
      <c r="G15" s="70"/>
      <c r="H15" s="70"/>
      <c r="I15" s="70"/>
      <c r="J15" s="71"/>
    </row>
    <row r="16" spans="1:15" ht="21.75" customHeight="1" x14ac:dyDescent="0.25">
      <c r="A16" s="19" t="s">
        <v>12</v>
      </c>
      <c r="B16" s="4">
        <f>681+11+4+9</f>
        <v>705</v>
      </c>
      <c r="C16" s="4">
        <f>10+83+14+27+3+3</f>
        <v>140</v>
      </c>
      <c r="D16" s="4">
        <f t="shared" si="2"/>
        <v>845</v>
      </c>
      <c r="E16" s="14"/>
      <c r="F16" s="9"/>
      <c r="G16" s="10" t="s">
        <v>16</v>
      </c>
      <c r="H16" s="10" t="s">
        <v>14</v>
      </c>
      <c r="I16" s="10" t="s">
        <v>15</v>
      </c>
      <c r="J16" s="10"/>
    </row>
    <row r="17" spans="1:10" ht="21.75" customHeight="1" x14ac:dyDescent="0.25">
      <c r="A17" s="19" t="s">
        <v>13</v>
      </c>
      <c r="B17" s="4">
        <f>30+1+2</f>
        <v>33</v>
      </c>
      <c r="C17" s="4">
        <f>0+4+2+1+1</f>
        <v>8</v>
      </c>
      <c r="D17" s="4">
        <f t="shared" si="2"/>
        <v>41</v>
      </c>
      <c r="E17" s="14"/>
      <c r="F17" s="9" t="s">
        <v>0</v>
      </c>
      <c r="G17" s="10">
        <f>241+399+75+16</f>
        <v>731</v>
      </c>
      <c r="H17" s="10">
        <v>6</v>
      </c>
      <c r="I17" s="10">
        <f>3+9+1</f>
        <v>13</v>
      </c>
      <c r="J17" s="10">
        <f>SUM(G17:I17)</f>
        <v>750</v>
      </c>
    </row>
    <row r="18" spans="1:10" ht="21.75" customHeight="1" x14ac:dyDescent="0.25">
      <c r="A18" s="20"/>
      <c r="B18" s="5">
        <f>SUM(B8:B17)</f>
        <v>7385</v>
      </c>
      <c r="C18" s="5">
        <f>SUM(C9:C17)</f>
        <v>897</v>
      </c>
      <c r="D18" s="4">
        <f t="shared" si="2"/>
        <v>8282</v>
      </c>
      <c r="E18" s="14"/>
      <c r="F18" s="9" t="s">
        <v>17</v>
      </c>
      <c r="G18" s="10">
        <f>1051+2019+977+826+115</f>
        <v>4988</v>
      </c>
      <c r="H18" s="10">
        <f>38+12</f>
        <v>50</v>
      </c>
      <c r="I18" s="10">
        <f>35+11</f>
        <v>46</v>
      </c>
      <c r="J18" s="10">
        <f>SUM(G18:I18)</f>
        <v>5084</v>
      </c>
    </row>
    <row r="19" spans="1:10" ht="21.75" customHeight="1" x14ac:dyDescent="0.25">
      <c r="B19" s="64"/>
      <c r="C19" s="64"/>
      <c r="D19" s="43"/>
      <c r="E19" s="43"/>
      <c r="F19" s="9"/>
      <c r="G19" s="10">
        <f>SUM(G17:G18)</f>
        <v>5719</v>
      </c>
      <c r="H19" s="10">
        <f t="shared" ref="H19:I19" si="3">SUM(H17:H18)</f>
        <v>56</v>
      </c>
      <c r="I19" s="10">
        <f t="shared" si="3"/>
        <v>59</v>
      </c>
      <c r="J19" s="10">
        <f>SUM(J17:J18)</f>
        <v>5834</v>
      </c>
    </row>
    <row r="20" spans="1:10" ht="21.75" customHeight="1" x14ac:dyDescent="0.25">
      <c r="A20" s="40" t="s">
        <v>19</v>
      </c>
      <c r="B20" s="56">
        <f>630+7+349+122+62</f>
        <v>1170</v>
      </c>
      <c r="C20" s="56"/>
      <c r="D20" s="14"/>
      <c r="E20" s="14"/>
      <c r="F20" s="13"/>
      <c r="G20" s="14"/>
      <c r="H20" s="14"/>
      <c r="I20" s="14"/>
      <c r="J20" s="14"/>
    </row>
    <row r="21" spans="1:10" ht="21.75" customHeight="1" x14ac:dyDescent="0.3">
      <c r="A21" s="40" t="s">
        <v>2</v>
      </c>
      <c r="B21" s="56">
        <f>6+8+3+1+1</f>
        <v>19</v>
      </c>
      <c r="C21" s="56"/>
      <c r="D21" s="14"/>
      <c r="E21" s="14"/>
      <c r="F21" s="41" t="s">
        <v>20</v>
      </c>
      <c r="G21" s="41"/>
    </row>
    <row r="22" spans="1:10" ht="21.75" customHeight="1" x14ac:dyDescent="0.25">
      <c r="F22" s="11" t="s">
        <v>0</v>
      </c>
      <c r="G22" s="12">
        <f>15+6</f>
        <v>21</v>
      </c>
    </row>
    <row r="23" spans="1:10" ht="21.75" customHeight="1" x14ac:dyDescent="0.25">
      <c r="A23" s="3" t="s">
        <v>21</v>
      </c>
      <c r="B23" s="2">
        <f>SUM(B4+D18+B20+B21+J13+J19+G24+O13)</f>
        <v>20429</v>
      </c>
      <c r="F23" s="11" t="s">
        <v>17</v>
      </c>
      <c r="G23" s="12">
        <f>46+6</f>
        <v>52</v>
      </c>
    </row>
    <row r="24" spans="1:10" ht="21.75" customHeight="1" x14ac:dyDescent="0.25">
      <c r="F24" s="11"/>
      <c r="G24" s="12">
        <f>SUM(G22:G23)</f>
        <v>73</v>
      </c>
    </row>
    <row r="25" spans="1:10" ht="21.75" customHeight="1" x14ac:dyDescent="0.25"/>
  </sheetData>
  <mergeCells count="9">
    <mergeCell ref="B19:C19"/>
    <mergeCell ref="B20:C20"/>
    <mergeCell ref="B21:C21"/>
    <mergeCell ref="A1:O1"/>
    <mergeCell ref="A2:C2"/>
    <mergeCell ref="F2:J2"/>
    <mergeCell ref="L2:O2"/>
    <mergeCell ref="A6:D6"/>
    <mergeCell ref="F15:J15"/>
  </mergeCells>
  <pageMargins left="0.7" right="0.7" top="0.4" bottom="0.57999999999999996" header="0.3" footer="0.3"/>
  <pageSetup paperSize="9" orientation="landscape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25"/>
  <sheetViews>
    <sheetView workbookViewId="0">
      <selection activeCell="G5" sqref="G5"/>
    </sheetView>
  </sheetViews>
  <sheetFormatPr defaultRowHeight="15" x14ac:dyDescent="0.25"/>
  <cols>
    <col min="1" max="1" width="14.5703125" bestFit="1" customWidth="1"/>
    <col min="2" max="2" width="6.7109375" bestFit="1" customWidth="1"/>
    <col min="3" max="3" width="7.42578125" customWidth="1"/>
    <col min="4" max="4" width="7.140625" customWidth="1"/>
    <col min="5" max="5" width="3.42578125" customWidth="1"/>
    <col min="6" max="6" width="9.140625" customWidth="1"/>
    <col min="7" max="7" width="7.42578125" customWidth="1"/>
    <col min="8" max="8" width="6.85546875" customWidth="1"/>
    <col min="9" max="9" width="7.28515625" customWidth="1"/>
    <col min="10" max="10" width="6.85546875" customWidth="1"/>
    <col min="11" max="11" width="4.28515625" customWidth="1"/>
    <col min="13" max="13" width="7.7109375" customWidth="1"/>
    <col min="14" max="14" width="7.42578125" customWidth="1"/>
    <col min="15" max="15" width="5.85546875" customWidth="1"/>
  </cols>
  <sheetData>
    <row r="1" spans="1:15" ht="23.25" x14ac:dyDescent="0.35">
      <c r="A1" s="58">
        <v>43496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</row>
    <row r="2" spans="1:15" ht="21.75" customHeight="1" x14ac:dyDescent="0.3">
      <c r="A2" s="60" t="s">
        <v>24</v>
      </c>
      <c r="B2" s="60"/>
      <c r="C2" s="60"/>
      <c r="D2" s="16"/>
      <c r="E2" s="16"/>
      <c r="F2" s="61" t="s">
        <v>22</v>
      </c>
      <c r="G2" s="61"/>
      <c r="H2" s="61"/>
      <c r="I2" s="61"/>
      <c r="J2" s="61"/>
      <c r="L2" s="65" t="s">
        <v>26</v>
      </c>
      <c r="M2" s="65"/>
      <c r="N2" s="65"/>
      <c r="O2" s="65"/>
    </row>
    <row r="3" spans="1:15" ht="21.75" customHeight="1" x14ac:dyDescent="0.25">
      <c r="A3" s="3"/>
      <c r="B3" s="2" t="s">
        <v>4</v>
      </c>
      <c r="C3" s="2" t="s">
        <v>5</v>
      </c>
      <c r="D3" s="14"/>
      <c r="E3" s="14"/>
      <c r="F3" s="7"/>
      <c r="G3" s="8" t="s">
        <v>16</v>
      </c>
      <c r="H3" s="8" t="s">
        <v>14</v>
      </c>
      <c r="I3" s="8" t="s">
        <v>15</v>
      </c>
      <c r="J3" s="8"/>
      <c r="L3" s="24"/>
      <c r="M3" s="25" t="s">
        <v>4</v>
      </c>
      <c r="N3" s="25" t="s">
        <v>5</v>
      </c>
      <c r="O3" s="25"/>
    </row>
    <row r="4" spans="1:15" ht="21.75" customHeight="1" x14ac:dyDescent="0.25">
      <c r="A4" s="3" t="s">
        <v>0</v>
      </c>
      <c r="B4" s="2">
        <f>1635+183+29+1+53+40+71+34</f>
        <v>2046</v>
      </c>
      <c r="C4" s="2"/>
      <c r="D4" s="14"/>
      <c r="E4" s="14"/>
      <c r="F4" s="7" t="s">
        <v>0</v>
      </c>
      <c r="G4" s="8">
        <f>302+68+1+12+2</f>
        <v>385</v>
      </c>
      <c r="H4" s="8">
        <f>1+1</f>
        <v>2</v>
      </c>
      <c r="I4" s="8">
        <f>4+1</f>
        <v>5</v>
      </c>
      <c r="J4" s="8">
        <f>SUM(G4:I4)</f>
        <v>392</v>
      </c>
      <c r="L4" s="24" t="s">
        <v>0</v>
      </c>
      <c r="M4" s="25">
        <f>55+7+17+11+3</f>
        <v>93</v>
      </c>
      <c r="N4" s="25">
        <v>2</v>
      </c>
      <c r="O4" s="25">
        <f>SUM(M4:N4)</f>
        <v>95</v>
      </c>
    </row>
    <row r="5" spans="1:15" ht="21.75" customHeight="1" x14ac:dyDescent="0.25">
      <c r="A5" s="13"/>
      <c r="B5" s="14"/>
      <c r="C5" s="14"/>
      <c r="D5" s="14"/>
      <c r="E5" s="14"/>
      <c r="F5" s="7" t="s">
        <v>17</v>
      </c>
      <c r="G5" s="8">
        <f>1687+270+6+10+38+9</f>
        <v>2020</v>
      </c>
      <c r="H5" s="8">
        <f>6+2</f>
        <v>8</v>
      </c>
      <c r="I5" s="8">
        <f>16+3</f>
        <v>19</v>
      </c>
      <c r="J5" s="8">
        <f t="shared" ref="J5:J13" si="0">SUM(G5:I5)</f>
        <v>2047</v>
      </c>
      <c r="L5" s="24" t="s">
        <v>17</v>
      </c>
      <c r="M5" s="25">
        <f>41+3+13+5+1</f>
        <v>63</v>
      </c>
      <c r="N5" s="25">
        <f>21+18+8+10</f>
        <v>57</v>
      </c>
      <c r="O5" s="25">
        <f t="shared" ref="O5:O13" si="1">SUM(M5:N5)</f>
        <v>120</v>
      </c>
    </row>
    <row r="6" spans="1:15" ht="21.75" customHeight="1" x14ac:dyDescent="0.3">
      <c r="A6" s="66" t="s">
        <v>25</v>
      </c>
      <c r="B6" s="67"/>
      <c r="C6" s="67"/>
      <c r="D6" s="68"/>
      <c r="E6" s="17"/>
      <c r="F6" s="7" t="s">
        <v>6</v>
      </c>
      <c r="G6" s="8">
        <f>4+1+2+1</f>
        <v>8</v>
      </c>
      <c r="H6" s="8">
        <v>1</v>
      </c>
      <c r="I6" s="8"/>
      <c r="J6" s="8">
        <f t="shared" si="0"/>
        <v>9</v>
      </c>
      <c r="L6" s="24" t="s">
        <v>6</v>
      </c>
      <c r="M6" s="25">
        <v>0</v>
      </c>
      <c r="N6" s="25">
        <f>28+2+13+6+4</f>
        <v>53</v>
      </c>
      <c r="O6" s="25">
        <f t="shared" si="1"/>
        <v>53</v>
      </c>
    </row>
    <row r="7" spans="1:15" ht="21.75" customHeight="1" x14ac:dyDescent="0.3">
      <c r="A7" s="46"/>
      <c r="B7" s="46" t="s">
        <v>4</v>
      </c>
      <c r="C7" s="46" t="s">
        <v>5</v>
      </c>
      <c r="D7" s="46"/>
      <c r="E7" s="17"/>
      <c r="F7" s="7" t="s">
        <v>8</v>
      </c>
      <c r="G7" s="8">
        <f>37+1+4</f>
        <v>42</v>
      </c>
      <c r="H7" s="8"/>
      <c r="I7" s="8"/>
      <c r="J7" s="8">
        <f t="shared" si="0"/>
        <v>42</v>
      </c>
      <c r="L7" s="24" t="s">
        <v>8</v>
      </c>
      <c r="M7" s="25">
        <v>0</v>
      </c>
      <c r="N7" s="25">
        <f>2+1</f>
        <v>3</v>
      </c>
      <c r="O7" s="25">
        <f t="shared" si="1"/>
        <v>3</v>
      </c>
    </row>
    <row r="8" spans="1:15" ht="21.75" customHeight="1" x14ac:dyDescent="0.25">
      <c r="A8" s="19" t="s">
        <v>1</v>
      </c>
      <c r="B8" s="4">
        <f>2999+356+19+137+1+1+77+1+134+46+2</f>
        <v>3773</v>
      </c>
      <c r="C8" s="4"/>
      <c r="D8" s="4">
        <f>SUM(B8:C8)</f>
        <v>3773</v>
      </c>
      <c r="E8" s="14"/>
      <c r="F8" s="7" t="s">
        <v>9</v>
      </c>
      <c r="G8" s="8">
        <f>35+8+11+4</f>
        <v>58</v>
      </c>
      <c r="H8" s="8"/>
      <c r="I8" s="8"/>
      <c r="J8" s="8">
        <f t="shared" si="0"/>
        <v>58</v>
      </c>
      <c r="L8" s="24" t="s">
        <v>9</v>
      </c>
      <c r="M8" s="25">
        <v>0</v>
      </c>
      <c r="N8" s="25">
        <f>22+3+7+3+3</f>
        <v>38</v>
      </c>
      <c r="O8" s="25">
        <f t="shared" si="1"/>
        <v>38</v>
      </c>
    </row>
    <row r="9" spans="1:15" ht="21.75" customHeight="1" x14ac:dyDescent="0.25">
      <c r="A9" s="19" t="s">
        <v>3</v>
      </c>
      <c r="B9" s="4">
        <f>7+4</f>
        <v>11</v>
      </c>
      <c r="C9" s="4">
        <f>48+14+3+16+11+11+5</f>
        <v>108</v>
      </c>
      <c r="D9" s="4">
        <f t="shared" ref="D9:D18" si="2">SUM(B9:C9)</f>
        <v>119</v>
      </c>
      <c r="E9" s="14"/>
      <c r="F9" s="7" t="s">
        <v>18</v>
      </c>
      <c r="G9" s="8">
        <f>61+8+10+5</f>
        <v>84</v>
      </c>
      <c r="H9" s="8"/>
      <c r="I9" s="8"/>
      <c r="J9" s="8">
        <f t="shared" si="0"/>
        <v>84</v>
      </c>
      <c r="L9" s="24" t="s">
        <v>18</v>
      </c>
      <c r="M9" s="25">
        <v>0</v>
      </c>
      <c r="N9" s="25">
        <f>7+1+2+1+1</f>
        <v>12</v>
      </c>
      <c r="O9" s="25">
        <f t="shared" si="1"/>
        <v>12</v>
      </c>
    </row>
    <row r="10" spans="1:15" ht="21.75" customHeight="1" x14ac:dyDescent="0.25">
      <c r="A10" s="19" t="s">
        <v>6</v>
      </c>
      <c r="B10" s="4">
        <f>367+37+3+37+6+23+8</f>
        <v>481</v>
      </c>
      <c r="C10" s="4">
        <f>13+13+2+17+1+1</f>
        <v>47</v>
      </c>
      <c r="D10" s="4">
        <f t="shared" si="2"/>
        <v>528</v>
      </c>
      <c r="E10" s="14"/>
      <c r="F10" s="7" t="s">
        <v>11</v>
      </c>
      <c r="G10" s="8">
        <f>46+7+1+6+1</f>
        <v>61</v>
      </c>
      <c r="H10" s="8"/>
      <c r="I10" s="8"/>
      <c r="J10" s="8">
        <f t="shared" si="0"/>
        <v>61</v>
      </c>
      <c r="L10" s="24" t="s">
        <v>11</v>
      </c>
      <c r="M10" s="25">
        <v>0</v>
      </c>
      <c r="N10" s="25">
        <f>17+1+6+2+5</f>
        <v>31</v>
      </c>
      <c r="O10" s="25">
        <f t="shared" si="1"/>
        <v>31</v>
      </c>
    </row>
    <row r="11" spans="1:15" ht="21.75" customHeight="1" x14ac:dyDescent="0.25">
      <c r="A11" s="19" t="s">
        <v>7</v>
      </c>
      <c r="B11" s="4">
        <f>17+1</f>
        <v>18</v>
      </c>
      <c r="C11" s="4">
        <f>162+21+5+32+8+13+3</f>
        <v>244</v>
      </c>
      <c r="D11" s="4">
        <f t="shared" si="2"/>
        <v>262</v>
      </c>
      <c r="E11" s="14"/>
      <c r="F11" s="7" t="s">
        <v>12</v>
      </c>
      <c r="G11" s="8">
        <f>33+5+1</f>
        <v>39</v>
      </c>
      <c r="H11" s="8"/>
      <c r="I11" s="8"/>
      <c r="J11" s="8">
        <f t="shared" si="0"/>
        <v>39</v>
      </c>
      <c r="L11" s="24" t="s">
        <v>12</v>
      </c>
      <c r="M11" s="25">
        <v>0</v>
      </c>
      <c r="N11" s="25">
        <f>1+2+1+2</f>
        <v>6</v>
      </c>
      <c r="O11" s="25">
        <f t="shared" si="1"/>
        <v>6</v>
      </c>
    </row>
    <row r="12" spans="1:15" ht="21.75" customHeight="1" x14ac:dyDescent="0.25">
      <c r="A12" s="19" t="s">
        <v>8</v>
      </c>
      <c r="B12" s="4">
        <f>1154+40+14+11</f>
        <v>1219</v>
      </c>
      <c r="C12" s="4">
        <f>9+136+10+16+4+2</f>
        <v>177</v>
      </c>
      <c r="D12" s="4">
        <f t="shared" si="2"/>
        <v>1396</v>
      </c>
      <c r="E12" s="14"/>
      <c r="F12" s="7" t="s">
        <v>13</v>
      </c>
      <c r="G12" s="8">
        <v>1</v>
      </c>
      <c r="H12" s="8"/>
      <c r="I12" s="8"/>
      <c r="J12" s="8">
        <f t="shared" si="0"/>
        <v>1</v>
      </c>
      <c r="L12" s="24" t="s">
        <v>13</v>
      </c>
      <c r="M12" s="25">
        <v>0</v>
      </c>
      <c r="N12" s="25">
        <v>0</v>
      </c>
      <c r="O12" s="25">
        <f t="shared" si="1"/>
        <v>0</v>
      </c>
    </row>
    <row r="13" spans="1:15" ht="21.75" customHeight="1" x14ac:dyDescent="0.25">
      <c r="A13" s="19" t="s">
        <v>9</v>
      </c>
      <c r="B13" s="4">
        <f>273+48+4+34+10+14+4</f>
        <v>387</v>
      </c>
      <c r="C13" s="4">
        <f>6+12+2+6+2+1+1</f>
        <v>30</v>
      </c>
      <c r="D13" s="4">
        <f t="shared" si="2"/>
        <v>417</v>
      </c>
      <c r="E13" s="14"/>
      <c r="F13" s="7"/>
      <c r="G13" s="8">
        <f>SUM(G4:G12)</f>
        <v>2698</v>
      </c>
      <c r="H13" s="8">
        <f>SUM(H4:H12)</f>
        <v>11</v>
      </c>
      <c r="I13" s="8">
        <f>SUM(I4:I12)</f>
        <v>24</v>
      </c>
      <c r="J13" s="8">
        <f t="shared" si="0"/>
        <v>2733</v>
      </c>
      <c r="L13" s="24"/>
      <c r="M13" s="25">
        <f>SUM(M4:M12)</f>
        <v>156</v>
      </c>
      <c r="N13" s="25">
        <f>SUM(N4:N12)</f>
        <v>202</v>
      </c>
      <c r="O13" s="25">
        <f t="shared" si="1"/>
        <v>358</v>
      </c>
    </row>
    <row r="14" spans="1:15" ht="21.75" customHeight="1" x14ac:dyDescent="0.25">
      <c r="A14" s="19" t="s">
        <v>10</v>
      </c>
      <c r="B14" s="4">
        <f>444+14+1+1+5+14+3</f>
        <v>482</v>
      </c>
      <c r="C14" s="4">
        <f>13+59+8+9+2+5+2</f>
        <v>98</v>
      </c>
      <c r="D14" s="4">
        <f t="shared" si="2"/>
        <v>580</v>
      </c>
      <c r="E14" s="14"/>
      <c r="L14" s="13"/>
      <c r="M14" s="14"/>
      <c r="N14" s="14"/>
      <c r="O14" s="14"/>
    </row>
    <row r="15" spans="1:15" ht="21.75" customHeight="1" x14ac:dyDescent="0.3">
      <c r="A15" s="19" t="s">
        <v>11</v>
      </c>
      <c r="B15" s="4">
        <f>247+51+5+22+3+11+6</f>
        <v>345</v>
      </c>
      <c r="C15" s="4">
        <f>15+8+2+15+9+7+4</f>
        <v>60</v>
      </c>
      <c r="D15" s="4">
        <f t="shared" si="2"/>
        <v>405</v>
      </c>
      <c r="E15" s="14"/>
      <c r="F15" s="69" t="s">
        <v>23</v>
      </c>
      <c r="G15" s="70"/>
      <c r="H15" s="70"/>
      <c r="I15" s="70"/>
      <c r="J15" s="71"/>
    </row>
    <row r="16" spans="1:15" ht="21.75" customHeight="1" x14ac:dyDescent="0.25">
      <c r="A16" s="19" t="s">
        <v>12</v>
      </c>
      <c r="B16" s="4">
        <f>681+11+4+9+5</f>
        <v>710</v>
      </c>
      <c r="C16" s="4">
        <f>10+83+14+27+3+3</f>
        <v>140</v>
      </c>
      <c r="D16" s="4">
        <f t="shared" si="2"/>
        <v>850</v>
      </c>
      <c r="E16" s="14"/>
      <c r="F16" s="9"/>
      <c r="G16" s="10" t="s">
        <v>16</v>
      </c>
      <c r="H16" s="10" t="s">
        <v>14</v>
      </c>
      <c r="I16" s="10" t="s">
        <v>15</v>
      </c>
      <c r="J16" s="10"/>
    </row>
    <row r="17" spans="1:10" ht="21.75" customHeight="1" x14ac:dyDescent="0.25">
      <c r="A17" s="19" t="s">
        <v>13</v>
      </c>
      <c r="B17" s="4">
        <f>30+1+2</f>
        <v>33</v>
      </c>
      <c r="C17" s="4">
        <f>0+4+2+1+1</f>
        <v>8</v>
      </c>
      <c r="D17" s="4">
        <f t="shared" si="2"/>
        <v>41</v>
      </c>
      <c r="E17" s="14"/>
      <c r="F17" s="9" t="s">
        <v>0</v>
      </c>
      <c r="G17" s="10">
        <f>241+399+75+16+6</f>
        <v>737</v>
      </c>
      <c r="H17" s="10">
        <v>6</v>
      </c>
      <c r="I17" s="10">
        <f>3+9+1</f>
        <v>13</v>
      </c>
      <c r="J17" s="10">
        <f>SUM(G17:I17)</f>
        <v>756</v>
      </c>
    </row>
    <row r="18" spans="1:10" ht="21.75" customHeight="1" x14ac:dyDescent="0.25">
      <c r="A18" s="20"/>
      <c r="B18" s="5">
        <f>SUM(B8:B17)</f>
        <v>7459</v>
      </c>
      <c r="C18" s="5">
        <f>SUM(C9:C17)</f>
        <v>912</v>
      </c>
      <c r="D18" s="4">
        <f t="shared" si="2"/>
        <v>8371</v>
      </c>
      <c r="E18" s="14"/>
      <c r="F18" s="9" t="s">
        <v>17</v>
      </c>
      <c r="G18" s="10">
        <f>1051+2019+977+826+115+28</f>
        <v>5016</v>
      </c>
      <c r="H18" s="10">
        <f>38+12</f>
        <v>50</v>
      </c>
      <c r="I18" s="10">
        <f>35+11</f>
        <v>46</v>
      </c>
      <c r="J18" s="10">
        <f>SUM(G18:I18)</f>
        <v>5112</v>
      </c>
    </row>
    <row r="19" spans="1:10" ht="21.75" customHeight="1" x14ac:dyDescent="0.25">
      <c r="B19" s="64"/>
      <c r="C19" s="64"/>
      <c r="D19" s="47"/>
      <c r="E19" s="47"/>
      <c r="F19" s="9"/>
      <c r="G19" s="10">
        <f>SUM(G17:G18)</f>
        <v>5753</v>
      </c>
      <c r="H19" s="10">
        <f t="shared" ref="H19:I19" si="3">SUM(H17:H18)</f>
        <v>56</v>
      </c>
      <c r="I19" s="10">
        <f t="shared" si="3"/>
        <v>59</v>
      </c>
      <c r="J19" s="10">
        <f>SUM(J17:J18)</f>
        <v>5868</v>
      </c>
    </row>
    <row r="20" spans="1:10" ht="21.75" customHeight="1" x14ac:dyDescent="0.25">
      <c r="A20" s="44" t="s">
        <v>19</v>
      </c>
      <c r="B20" s="56">
        <f>630+7+349+122+62+25</f>
        <v>1195</v>
      </c>
      <c r="C20" s="56"/>
      <c r="D20" s="14"/>
      <c r="E20" s="14"/>
      <c r="F20" s="13"/>
      <c r="G20" s="14"/>
      <c r="H20" s="14"/>
      <c r="I20" s="14"/>
      <c r="J20" s="14"/>
    </row>
    <row r="21" spans="1:10" ht="21.75" customHeight="1" x14ac:dyDescent="0.3">
      <c r="A21" s="44" t="s">
        <v>2</v>
      </c>
      <c r="B21" s="56">
        <f>6+8+3+1+1</f>
        <v>19</v>
      </c>
      <c r="C21" s="56"/>
      <c r="D21" s="14"/>
      <c r="E21" s="14"/>
      <c r="F21" s="45" t="s">
        <v>20</v>
      </c>
      <c r="G21" s="45"/>
    </row>
    <row r="22" spans="1:10" ht="21.75" customHeight="1" x14ac:dyDescent="0.25">
      <c r="F22" s="11" t="s">
        <v>0</v>
      </c>
      <c r="G22" s="12">
        <f>15+6</f>
        <v>21</v>
      </c>
    </row>
    <row r="23" spans="1:10" ht="21.75" customHeight="1" x14ac:dyDescent="0.25">
      <c r="A23" s="3" t="s">
        <v>21</v>
      </c>
      <c r="B23" s="2">
        <f>SUM(B4+D18+B20+B21+J13+J19+G24+O13)</f>
        <v>20663</v>
      </c>
      <c r="F23" s="11" t="s">
        <v>17</v>
      </c>
      <c r="G23" s="12">
        <f>46+6</f>
        <v>52</v>
      </c>
    </row>
    <row r="24" spans="1:10" ht="21.75" customHeight="1" x14ac:dyDescent="0.25">
      <c r="F24" s="11"/>
      <c r="G24" s="12">
        <f>SUM(G22:G23)</f>
        <v>73</v>
      </c>
    </row>
    <row r="25" spans="1:10" ht="21.75" customHeight="1" x14ac:dyDescent="0.25"/>
  </sheetData>
  <mergeCells count="9">
    <mergeCell ref="B19:C19"/>
    <mergeCell ref="B20:C20"/>
    <mergeCell ref="B21:C21"/>
    <mergeCell ref="A1:O1"/>
    <mergeCell ref="A2:C2"/>
    <mergeCell ref="F2:J2"/>
    <mergeCell ref="L2:O2"/>
    <mergeCell ref="A6:D6"/>
    <mergeCell ref="F15:J15"/>
  </mergeCells>
  <pageMargins left="0.7" right="0.7" top="0.4" bottom="0.57999999999999996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12</vt:i4>
      </vt:variant>
    </vt:vector>
  </HeadingPairs>
  <TitlesOfParts>
    <vt:vector size="12" baseType="lpstr">
      <vt:lpstr>5-9-2018</vt:lpstr>
      <vt:lpstr>21-9-2018</vt:lpstr>
      <vt:lpstr>4-10-2018</vt:lpstr>
      <vt:lpstr>19-10-2018</vt:lpstr>
      <vt:lpstr>06-11-2018</vt:lpstr>
      <vt:lpstr>08-11-2018</vt:lpstr>
      <vt:lpstr>03-12-2018</vt:lpstr>
      <vt:lpstr>17-01-2019</vt:lpstr>
      <vt:lpstr>31-01-2019</vt:lpstr>
      <vt:lpstr>20-02-2019</vt:lpstr>
      <vt:lpstr>26-02-2019</vt:lpstr>
      <vt:lpstr>07-03-2019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Νεκταρια Φυτουρακη</dc:creator>
  <cp:lastModifiedBy>Hewlett-Packard Company</cp:lastModifiedBy>
  <cp:lastPrinted>2018-11-30T12:51:30Z</cp:lastPrinted>
  <dcterms:created xsi:type="dcterms:W3CDTF">2018-09-04T20:57:20Z</dcterms:created>
  <dcterms:modified xsi:type="dcterms:W3CDTF">2019-03-14T09:08:53Z</dcterms:modified>
</cp:coreProperties>
</file>